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75" windowWidth="12390" windowHeight="9000" tabRatio="607"/>
  </bookViews>
  <sheets>
    <sheet name="Vinduer, Energitab" sheetId="7" r:id="rId1"/>
    <sheet name="Producenter, www.adresser" sheetId="8" r:id="rId2"/>
  </sheets>
  <calcPr calcId="145621"/>
</workbook>
</file>

<file path=xl/calcChain.xml><?xml version="1.0" encoding="utf-8"?>
<calcChain xmlns="http://schemas.openxmlformats.org/spreadsheetml/2006/main">
  <c r="AF32" i="7" l="1"/>
  <c r="AB29" i="7"/>
  <c r="AB28" i="7"/>
  <c r="M28" i="7"/>
  <c r="L28" i="7"/>
  <c r="L29" i="7"/>
  <c r="M29" i="7" s="1"/>
  <c r="L37" i="7" l="1"/>
  <c r="M37" i="7" s="1"/>
  <c r="D5" i="7" l="1"/>
  <c r="H5" i="7"/>
  <c r="L5" i="7"/>
  <c r="M12" i="7" l="1"/>
  <c r="M9" i="7"/>
  <c r="M10" i="7"/>
  <c r="M11" i="7"/>
  <c r="D27" i="7"/>
  <c r="Y23" i="7"/>
  <c r="Y22" i="7"/>
  <c r="M8" i="7" l="1"/>
  <c r="I31" i="7"/>
  <c r="AB6" i="7" l="1"/>
  <c r="AC6" i="7" s="1"/>
  <c r="AB18" i="7"/>
  <c r="AB17" i="7"/>
  <c r="AB16" i="7"/>
  <c r="X6" i="7"/>
  <c r="Y6" i="7" s="1"/>
  <c r="L6" i="7"/>
  <c r="M6" i="7" s="1"/>
  <c r="AB5" i="7"/>
  <c r="X5" i="7"/>
  <c r="T5" i="7"/>
  <c r="P5" i="7"/>
  <c r="P27" i="7"/>
  <c r="P26" i="7"/>
  <c r="P24" i="7"/>
  <c r="P25" i="7"/>
  <c r="T27" i="7"/>
  <c r="T26" i="7"/>
  <c r="T24" i="7"/>
  <c r="T25" i="7"/>
  <c r="X25" i="7"/>
  <c r="X24" i="7"/>
  <c r="AB25" i="7"/>
  <c r="AB24" i="7"/>
  <c r="H27" i="7"/>
  <c r="H26" i="7"/>
  <c r="D26" i="7"/>
  <c r="D25" i="7"/>
  <c r="D24" i="7"/>
  <c r="H24" i="7"/>
  <c r="H25" i="7"/>
  <c r="L25" i="7"/>
  <c r="L24" i="7"/>
  <c r="P18" i="7"/>
  <c r="Q18" i="7" s="1"/>
  <c r="P17" i="7"/>
  <c r="Q17" i="7" s="1"/>
  <c r="P16" i="7"/>
  <c r="Q16" i="7" s="1"/>
  <c r="T17" i="7"/>
  <c r="U17" i="7" s="1"/>
  <c r="T18" i="7"/>
  <c r="U18" i="7" s="1"/>
  <c r="T16" i="7"/>
  <c r="U16" i="7" s="1"/>
  <c r="X18" i="7"/>
  <c r="Y18" i="7" s="1"/>
  <c r="X17" i="7"/>
  <c r="Y17" i="7" s="1"/>
  <c r="X16" i="7"/>
  <c r="Y16" i="7" s="1"/>
  <c r="D18" i="7"/>
  <c r="E18" i="7" s="1"/>
  <c r="D17" i="7"/>
  <c r="E17" i="7" s="1"/>
  <c r="D16" i="7"/>
  <c r="E16" i="7" s="1"/>
  <c r="H18" i="7"/>
  <c r="I18" i="7" s="1"/>
  <c r="H17" i="7"/>
  <c r="I17" i="7" s="1"/>
  <c r="H16" i="7"/>
  <c r="I16" i="7" s="1"/>
  <c r="L18" i="7"/>
  <c r="M18" i="7" s="1"/>
  <c r="L17" i="7"/>
  <c r="M17" i="7" s="1"/>
  <c r="L16" i="7"/>
  <c r="M16" i="7" s="1"/>
  <c r="X19" i="7"/>
  <c r="T19" i="7"/>
  <c r="P19" i="7"/>
  <c r="L19" i="7"/>
  <c r="H19" i="7"/>
  <c r="D19" i="7"/>
  <c r="T20" i="7"/>
  <c r="P20" i="7"/>
  <c r="P21" i="7"/>
  <c r="T21" i="7"/>
  <c r="X20" i="7"/>
  <c r="H21" i="7"/>
  <c r="D21" i="7"/>
  <c r="D20" i="7"/>
  <c r="H20" i="7"/>
  <c r="L20" i="7"/>
  <c r="P15" i="7"/>
  <c r="T15" i="7"/>
  <c r="X15" i="7"/>
  <c r="D15" i="7"/>
  <c r="H15" i="7"/>
  <c r="L15" i="7"/>
  <c r="M15" i="7" s="1"/>
  <c r="M22" i="7"/>
  <c r="AC23" i="7"/>
  <c r="AC22" i="7"/>
  <c r="M23" i="7"/>
  <c r="I34" i="7"/>
  <c r="M31" i="7"/>
  <c r="M30" i="7"/>
  <c r="I30" i="7"/>
</calcChain>
</file>

<file path=xl/sharedStrings.xml><?xml version="1.0" encoding="utf-8"?>
<sst xmlns="http://schemas.openxmlformats.org/spreadsheetml/2006/main" count="111" uniqueCount="76">
  <si>
    <t>2,5 - 3,0</t>
  </si>
  <si>
    <t>0,39 - 0,51</t>
  </si>
  <si>
    <t>g      %</t>
  </si>
  <si>
    <r>
      <t>Energi-balance kWh/m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år</t>
    </r>
  </si>
  <si>
    <r>
      <t>U   W/ 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K</t>
    </r>
  </si>
  <si>
    <t>-142 til -170</t>
  </si>
  <si>
    <t>Danne- brogsvin-duer 1,23 x 1,48 m</t>
  </si>
  <si>
    <t>To-rammet vindue 1,18 x 1,18 m</t>
  </si>
  <si>
    <t>Et-rammet vindue 1,23 x 1,48 m</t>
  </si>
  <si>
    <t>Oversigt over typiske vinduesstørrelser og opdelinger som kan give et hurtigt og rimeligt overblik over energiforhold i forhold til lovgivningen og laveste varmetab</t>
  </si>
  <si>
    <t>?</t>
  </si>
  <si>
    <t>H: Nye vinduer i træ, træ/alu eller plast med "gammeldags" termoruder</t>
  </si>
  <si>
    <t>E: Nyt plastik vindue, 1,1 energirude, falsk sprosse, kold kant</t>
  </si>
  <si>
    <t>E: Nyt plastik vindue, 1,1 energirude, gennemgående sprosse, kold kant</t>
  </si>
  <si>
    <t>D: Traditionelt vindue med "gammeldags" forsatsglas (1+1 lag glas) - anvendt siden 1731!</t>
  </si>
  <si>
    <t>A: Passivhus trævindue med 0,5 tre lags energirude og varm kant</t>
  </si>
  <si>
    <t>+10,3</t>
  </si>
  <si>
    <t>G: Nyt Velfac træ/alu vindue, 1,11 energirude, falsk sprosse/ ingen sprosse, varm kant</t>
  </si>
  <si>
    <t>G: Nyt Velfac træ/alu vindue, 1,27 energirude, falsk sprosse/ ingen sprosse, varm kant. Lydrude</t>
  </si>
  <si>
    <t>G: Nyt Velfac træ/alu vindue, 1,1 energirude gennemgående sprosse, varm kant</t>
  </si>
  <si>
    <t>G: Nyt Velfac træ/alu vindue, 1,1 energirude gennem- gående sprosse, varm kant. Lydrude</t>
  </si>
  <si>
    <t>÷</t>
  </si>
  <si>
    <r>
      <t>Energi- klasse        A                     0 ≤ E</t>
    </r>
    <r>
      <rPr>
        <b/>
        <vertAlign val="subscript"/>
        <sz val="8"/>
        <rFont val="Arial"/>
        <family val="2"/>
      </rPr>
      <t>ref</t>
    </r>
    <r>
      <rPr>
        <b/>
        <sz val="8"/>
        <rFont val="Arial"/>
        <family val="2"/>
      </rPr>
      <t xml:space="preserve"> </t>
    </r>
  </si>
  <si>
    <r>
      <t>Energi-  klasse           B                      -17 ≤ E</t>
    </r>
    <r>
      <rPr>
        <b/>
        <vertAlign val="subscript"/>
        <sz val="8"/>
        <rFont val="Arial"/>
        <family val="2"/>
      </rPr>
      <t>ref</t>
    </r>
    <r>
      <rPr>
        <b/>
        <sz val="8"/>
        <rFont val="Arial"/>
        <family val="2"/>
      </rPr>
      <t xml:space="preserve"> ‹</t>
    </r>
    <r>
      <rPr>
        <b/>
        <sz val="6.65"/>
        <rFont val="Arial"/>
        <family val="2"/>
      </rPr>
      <t xml:space="preserve"> </t>
    </r>
    <r>
      <rPr>
        <b/>
        <sz val="8"/>
        <rFont val="Arial"/>
        <family val="2"/>
      </rPr>
      <t>0</t>
    </r>
  </si>
  <si>
    <r>
      <t>Energi-     klasse              C                       -33 ≤ E</t>
    </r>
    <r>
      <rPr>
        <b/>
        <vertAlign val="subscript"/>
        <sz val="8"/>
        <rFont val="Arial"/>
        <family val="2"/>
      </rPr>
      <t>ref</t>
    </r>
    <r>
      <rPr>
        <b/>
        <sz val="8"/>
        <rFont val="Arial"/>
        <family val="2"/>
      </rPr>
      <t xml:space="preserve"> ‹ -17</t>
    </r>
  </si>
  <si>
    <r>
      <t>Energi-  klasse           F                      E</t>
    </r>
    <r>
      <rPr>
        <b/>
        <vertAlign val="subscript"/>
        <sz val="8"/>
        <rFont val="Arial"/>
        <family val="2"/>
      </rPr>
      <t>ref</t>
    </r>
    <r>
      <rPr>
        <b/>
        <sz val="8"/>
        <rFont val="Arial"/>
        <family val="2"/>
      </rPr>
      <t xml:space="preserve"> ‹ 60</t>
    </r>
  </si>
  <si>
    <t>Angiver at producenten opgiver at vinduet ikke kan fremstilles i denne størrelse.</t>
  </si>
  <si>
    <t>Angiver at producenten ikke opgiver data for denne vinduestype</t>
  </si>
  <si>
    <t>Data stammer for vinduer med 2 x 6 ruder, producenten opgiver ikke data for 2 x 8 ruder</t>
  </si>
  <si>
    <t>Energimærkning af vinduer 2011</t>
  </si>
  <si>
    <r>
      <t>Energi-     klasse                        D                        -55 ≤ E</t>
    </r>
    <r>
      <rPr>
        <b/>
        <vertAlign val="subscript"/>
        <sz val="8"/>
        <rFont val="Arial"/>
        <family val="2"/>
      </rPr>
      <t>ref</t>
    </r>
    <r>
      <rPr>
        <b/>
        <sz val="8"/>
        <rFont val="Arial"/>
        <family val="2"/>
      </rPr>
      <t xml:space="preserve"> ‹ 33</t>
    </r>
  </si>
  <si>
    <r>
      <t>Energi-      klasse               E                        -60 ≤ E</t>
    </r>
    <r>
      <rPr>
        <b/>
        <vertAlign val="subscript"/>
        <sz val="8"/>
        <rFont val="Arial"/>
        <family val="2"/>
      </rPr>
      <t>ref</t>
    </r>
    <r>
      <rPr>
        <b/>
        <sz val="8"/>
        <rFont val="Arial"/>
        <family val="2"/>
      </rPr>
      <t xml:space="preserve"> ‹ 55</t>
    </r>
  </si>
  <si>
    <t>Vinduer med en U-værdi over 1,8 W/m2K opfyldte ikke Bygningsreglementet af 1995. Bemærk at det var hele vinduets samlede U-værdi loven omhandlede - og at nogle af disse vinduer der dengang ikke var tilladte, nu er det da der ikke er et mindstekrav til vinduer mod det fri. Det er dog krav til vinduer inde i bygninger samt i sommerhuse!</t>
  </si>
  <si>
    <t>-30/-35</t>
  </si>
  <si>
    <t>-30/-36</t>
  </si>
  <si>
    <t>-30/-37</t>
  </si>
  <si>
    <t>D: Traditionelt/nyt vindue med forsats energirude (1+2 lag glas)</t>
  </si>
  <si>
    <t>D: Traditionelt/nyt vindue med forsats energiglas (1+1, 4 mm tykt energiglas)</t>
  </si>
  <si>
    <t>D: Traditionelt/nyt vindue med forsats energiglas (1+1, 6 mm tykt glas for 44 dB lyddæmpning)</t>
  </si>
  <si>
    <t>D: Traditionelt/nyt vindue med koblet Opto energiglas (1+1, 4 mm tykt energiglas)</t>
  </si>
  <si>
    <t>Dannebrogsvinduer i størrelsen 1,23 x 1,48 cm                               (CEN produkt standard)</t>
  </si>
  <si>
    <t>Producenten er ved at opdatere energiberegneren eller den er væk</t>
  </si>
  <si>
    <t>Producenten opgiver energidata men oplyser at trelags glas ikke kombineres med energisprosser</t>
  </si>
  <si>
    <t>D: Traditionelt/nyt vindue med forsats energirude med to energibelægninger (1+2 lag glas)</t>
  </si>
  <si>
    <t>D: Traditionelt vindue kun et lag glas</t>
  </si>
  <si>
    <t>U-værdi er mål for hele vinduets varmetab                      g-værdi er mål for gratisvarme fra solen Energibalance er mål for det samlede varmetab</t>
  </si>
  <si>
    <t>B: Nyt Bøjsø koblet vindue, 1+2</t>
  </si>
  <si>
    <t>B: Nyt Bøjsø koblet vindue, 1+1 energiglas</t>
  </si>
  <si>
    <t>B: Nyt Bøjsø vindue, 1,1 energirude, varm kant</t>
  </si>
  <si>
    <t>C: Nyt UnikFunkis Træ/alu vindue, Trelag  energirude, falsk sprosse/ ingen sprosse, varm kant</t>
  </si>
  <si>
    <t>C: Nyt UnikFunkis trævindue, 1,1 energirude, falsk sprosse/ ingen sprosse, varm kant</t>
  </si>
  <si>
    <t>C: Nyt UnikFunkis Mahognivindue, 1,13/0,65 Eurostar energirude, falsk sprosse/ ingen sprosse, varm kant</t>
  </si>
  <si>
    <t>C: Nyt UnikFunkis Træ/alu vindue, 1,1 energirude, falsk sprosse/ ingen sprosse, varm kant</t>
  </si>
  <si>
    <t>F: Nyt Rationel Aura+ træ/alu vindue, 0,52 energirude, falsk sprosse/ ingen sprosse, varm kant</t>
  </si>
  <si>
    <t>F: Nyt Rationel Patus træ vindue, 1,13 energirude, falsk sprosse/ ingen sprosse, varm kant</t>
  </si>
  <si>
    <t>F: Nyt Rationel Patus+ træ/alu vindue, 1,16 energirude, falsk sprosse/ ingen sprosse, varm kant</t>
  </si>
  <si>
    <t>F: Nyt Rationel Aldus træ/alu vindue, 1,16 energirude, falsk sprosse/ ingen sprosse, varm kant</t>
  </si>
  <si>
    <t>F: Nyt Rationel Aldus træ/alu vindue, 1,16 energirude, gennemgående sprosse, varm kant</t>
  </si>
  <si>
    <t>I: Nyt Idealcombi, Frame træ/alu vindue, 1,13 energirude, ingen sprosse, varm kant?</t>
  </si>
  <si>
    <t>I: Nyt Idealcombi, Frame træ/alu vindue, 1,3 energirude, ingen sprosse, varm kant. Lydrude</t>
  </si>
  <si>
    <t xml:space="preserve">A: Passivhus vindue med tre lags energirude og varm kant. Der er formodentlig problemer med udvendig kondens. Vindue med positiv energibalance, dvs. at vinduet genererer energi i fyringssæsonen. Horn Aps, Passiv vinduet, www.horn-aps.dk </t>
  </si>
  <si>
    <t xml:space="preserve">D, flere producenter af forsatsvinduer: Her er valgt energitab for traditionelle forsatsvinduer af træ. Energitallene vil være nogenlunde de samme for nye koblede- eller forsatsvinduer. Energitallene kan ses på www.energiforsatsgruppen.dk/Trehøje Træindustri </t>
  </si>
  <si>
    <t>E: Nyt plastvindue med standard 1,1 energirude. Tallene stammer fra "Vinduers varmetab"</t>
  </si>
  <si>
    <t>H: Diverse fabrikanter af vinduer i træ, træ/alu eller plast med "gammeldags" termoruder - dem er der isat mange millioner af de sidste 30 år! Tallene stammer fra "Vinduers varmetab"</t>
  </si>
  <si>
    <t>I: Idealcombi, deres energiberegner er ikke længere tilgængelig på hjemmesiden.</t>
  </si>
  <si>
    <t>C: Unik Funkis, deres energiberegner er ikke længere tilgængelig på hjemmesiden.</t>
  </si>
  <si>
    <t>Vinduer med en U-værdi over 1,40 W/m2K opfylder ikke Bygningsreglementet af 2015. Bemærk at det er hele vinduets samlede U-værdi loven omhandlede, dette gælder kun for forsatsvinduer</t>
  </si>
  <si>
    <t>Vinduer med en U-værdi over 1,40 W/m2K opfylder ikke Bygningsreglementet af 2015 - men det gælder kun for forsatsvinduer! Disse vinduer har derfor ikke noget problem med at opfylde Be 2015 udfra U -værdien, her stilles nemlig ikke noget krav til vinduer mod det fri!</t>
  </si>
  <si>
    <t>H: Velfac classic alu, to lags energirude</t>
  </si>
  <si>
    <t>H: Velfac classic alu, tre lags energirude</t>
  </si>
  <si>
    <t xml:space="preserve">Velfac 400i i størrelse 130 x 190. </t>
  </si>
  <si>
    <r>
      <t xml:space="preserve">Producenten opgiver kun energidata for et vindue der er 1,30 x 1,90 m. Tallene ville være omkring 10 % dårligere i standardstørrelsen svarende til skønnet </t>
    </r>
    <r>
      <rPr>
        <b/>
        <sz val="10"/>
        <rFont val="Calibri"/>
        <family val="2"/>
      </rPr>
      <t>÷ 61</t>
    </r>
  </si>
  <si>
    <t>Produktionen af Velfac 400i er stoppet og erstattet af Velfac Classic. Samtidig har Velfac lukket deres energiberegner så det er ikke muligt at finde data for deres nye vinduestype</t>
  </si>
  <si>
    <t>B: Bøjsø Vinduer fremstiller både energirudevinduer samt kobledevinduer og forsatsrammer. Energiberegner var på: http://www.boejsoe.dk/information/energiberegning.aspx, den er nu fjernet</t>
  </si>
  <si>
    <t>F: Rationel Nyt træ-træ/alu vindue med 2 eller 3 lags energiruder. Energiberegner på: http://www.rationel.dk/professionelle/energi/energiberegner/ Energiberegneren er nu fjernet</t>
  </si>
  <si>
    <t>G: Velfac, nyt træ/alu vindue med energiruder med varm kant. Energitallene kan ses på www.velfac.dk, se under erhverv, energiberegner. http://velfac.dk/vinduer-erhverv/Teknisk-radgivning1/Bygningsreglement-2010/Energiberegning/ Energiberegneren er nu fjernet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</si>
</sst>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>
    <font>
      <sz val="10"/>
      <name val="Arial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name val="Arial"/>
      <family val="2"/>
    </font>
    <font>
      <b/>
      <sz val="8"/>
      <color indexed="41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9"/>
      <name val="Gill Sans MT"/>
      <family val="2"/>
    </font>
    <font>
      <b/>
      <sz val="9"/>
      <color indexed="8"/>
      <name val="Gill Sans MT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14"/>
      <name val="Arial"/>
      <family val="2"/>
    </font>
    <font>
      <b/>
      <sz val="8"/>
      <color theme="1"/>
      <name val="Arial"/>
      <family val="2"/>
    </font>
    <font>
      <b/>
      <vertAlign val="subscript"/>
      <sz val="8"/>
      <name val="Arial"/>
      <family val="2"/>
    </font>
    <font>
      <b/>
      <sz val="6.65"/>
      <name val="Arial"/>
      <family val="2"/>
    </font>
    <font>
      <b/>
      <sz val="10"/>
      <name val="Arial"/>
      <family val="2"/>
    </font>
    <font>
      <b/>
      <sz val="9"/>
      <color theme="1"/>
      <name val="Gill Sans MT"/>
      <family val="2"/>
    </font>
    <font>
      <b/>
      <sz val="1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7EA3B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6" fillId="0" borderId="6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6" fillId="0" borderId="19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2" fontId="16" fillId="0" borderId="10" xfId="0" applyNumberFormat="1" applyFont="1" applyFill="1" applyBorder="1" applyAlignment="1">
      <alignment vertical="center"/>
    </xf>
    <xf numFmtId="2" fontId="16" fillId="0" borderId="6" xfId="0" applyNumberFormat="1" applyFont="1" applyFill="1" applyBorder="1" applyAlignment="1">
      <alignment vertical="center"/>
    </xf>
    <xf numFmtId="2" fontId="16" fillId="0" borderId="1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14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164" fontId="12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2" fontId="16" fillId="0" borderId="22" xfId="0" applyNumberFormat="1" applyFont="1" applyFill="1" applyBorder="1" applyAlignment="1">
      <alignment horizontal="center" vertical="center" wrapText="1"/>
    </xf>
    <xf numFmtId="2" fontId="16" fillId="0" borderId="23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2" fontId="16" fillId="0" borderId="3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9" borderId="36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2" fontId="16" fillId="0" borderId="38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vertical="center"/>
    </xf>
    <xf numFmtId="2" fontId="16" fillId="0" borderId="40" xfId="0" applyNumberFormat="1" applyFont="1" applyFill="1" applyBorder="1" applyAlignment="1">
      <alignment horizontal="center" vertical="center" wrapText="1"/>
    </xf>
    <xf numFmtId="2" fontId="17" fillId="12" borderId="1" xfId="0" applyNumberFormat="1" applyFont="1" applyFill="1" applyBorder="1" applyAlignment="1">
      <alignment horizontal="center" vertical="center" wrapText="1"/>
    </xf>
    <xf numFmtId="2" fontId="16" fillId="12" borderId="1" xfId="0" applyNumberFormat="1" applyFont="1" applyFill="1" applyBorder="1" applyAlignment="1">
      <alignment horizontal="center" vertical="center" wrapText="1"/>
    </xf>
    <xf numFmtId="2" fontId="17" fillId="12" borderId="2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vertical="center" wrapText="1"/>
    </xf>
    <xf numFmtId="164" fontId="14" fillId="13" borderId="1" xfId="0" applyNumberFormat="1" applyFont="1" applyFill="1" applyBorder="1" applyAlignment="1">
      <alignment horizontal="center" vertical="center" wrapText="1"/>
    </xf>
    <xf numFmtId="1" fontId="14" fillId="11" borderId="1" xfId="0" applyNumberFormat="1" applyFont="1" applyFill="1" applyBorder="1" applyAlignment="1">
      <alignment horizontal="center" vertical="center" wrapText="1"/>
    </xf>
    <xf numFmtId="1" fontId="19" fillId="11" borderId="1" xfId="0" applyNumberFormat="1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vertical="center" wrapText="1"/>
    </xf>
    <xf numFmtId="0" fontId="3" fillId="8" borderId="43" xfId="0" applyFont="1" applyFill="1" applyBorder="1" applyAlignment="1">
      <alignment vertical="center" wrapText="1"/>
    </xf>
    <xf numFmtId="2" fontId="16" fillId="0" borderId="32" xfId="0" applyNumberFormat="1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4" borderId="45" xfId="0" applyFont="1" applyFill="1" applyBorder="1" applyAlignment="1">
      <alignment vertical="center" wrapText="1"/>
    </xf>
    <xf numFmtId="2" fontId="16" fillId="0" borderId="34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vertical="center" wrapText="1"/>
    </xf>
    <xf numFmtId="0" fontId="3" fillId="4" borderId="42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0" fillId="10" borderId="29" xfId="0" applyFont="1" applyFill="1" applyBorder="1" applyAlignment="1">
      <alignment vertical="center" wrapText="1"/>
    </xf>
    <xf numFmtId="0" fontId="1" fillId="6" borderId="29" xfId="0" applyFont="1" applyFill="1" applyBorder="1" applyAlignment="1">
      <alignment vertical="center" wrapText="1"/>
    </xf>
    <xf numFmtId="0" fontId="1" fillId="6" borderId="43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2" fontId="17" fillId="12" borderId="31" xfId="0" applyNumberFormat="1" applyFont="1" applyFill="1" applyBorder="1" applyAlignment="1">
      <alignment horizontal="center" vertical="center" wrapText="1"/>
    </xf>
    <xf numFmtId="2" fontId="16" fillId="0" borderId="31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2" fontId="16" fillId="0" borderId="44" xfId="0" applyNumberFormat="1" applyFont="1" applyFill="1" applyBorder="1" applyAlignment="1">
      <alignment vertical="center" wrapText="1"/>
    </xf>
    <xf numFmtId="2" fontId="16" fillId="0" borderId="32" xfId="0" applyNumberFormat="1" applyFont="1" applyFill="1" applyBorder="1" applyAlignment="1">
      <alignment vertical="center" wrapText="1"/>
    </xf>
    <xf numFmtId="0" fontId="15" fillId="0" borderId="32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16" fillId="0" borderId="48" xfId="0" applyFont="1" applyFill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5" fillId="0" borderId="33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7" borderId="43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2" fontId="17" fillId="0" borderId="32" xfId="0" applyNumberFormat="1" applyFont="1" applyFill="1" applyBorder="1" applyAlignment="1">
      <alignment horizontal="center" vertical="center" wrapText="1"/>
    </xf>
    <xf numFmtId="164" fontId="14" fillId="0" borderId="33" xfId="0" applyNumberFormat="1" applyFont="1" applyFill="1" applyBorder="1" applyAlignment="1">
      <alignment horizontal="center" vertical="center" wrapText="1"/>
    </xf>
    <xf numFmtId="0" fontId="16" fillId="12" borderId="31" xfId="0" applyFont="1" applyFill="1" applyBorder="1" applyAlignment="1">
      <alignment horizontal="center" vertical="center" wrapText="1"/>
    </xf>
    <xf numFmtId="2" fontId="17" fillId="0" borderId="44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51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" fontId="14" fillId="0" borderId="31" xfId="0" applyNumberFormat="1" applyFont="1" applyFill="1" applyBorder="1" applyAlignment="1">
      <alignment horizontal="center" vertical="center" wrapText="1"/>
    </xf>
    <xf numFmtId="2" fontId="17" fillId="12" borderId="38" xfId="0" applyNumberFormat="1" applyFont="1" applyFill="1" applyBorder="1" applyAlignment="1">
      <alignment horizontal="center" vertical="center" wrapText="1"/>
    </xf>
    <xf numFmtId="2" fontId="16" fillId="12" borderId="38" xfId="0" applyNumberFormat="1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164" fontId="14" fillId="14" borderId="2" xfId="0" applyNumberFormat="1" applyFont="1" applyFill="1" applyBorder="1" applyAlignment="1">
      <alignment horizontal="center" vertical="center" wrapText="1"/>
    </xf>
    <xf numFmtId="164" fontId="14" fillId="11" borderId="1" xfId="0" applyNumberFormat="1" applyFont="1" applyFill="1" applyBorder="1" applyAlignment="1">
      <alignment horizontal="center" vertical="center" wrapText="1"/>
    </xf>
    <xf numFmtId="2" fontId="16" fillId="18" borderId="1" xfId="0" applyNumberFormat="1" applyFont="1" applyFill="1" applyBorder="1" applyAlignment="1">
      <alignment horizontal="center" vertical="center" wrapText="1"/>
    </xf>
    <xf numFmtId="2" fontId="16" fillId="19" borderId="1" xfId="0" applyNumberFormat="1" applyFont="1" applyFill="1" applyBorder="1" applyAlignment="1">
      <alignment horizontal="center" vertical="center" wrapText="1"/>
    </xf>
    <xf numFmtId="2" fontId="17" fillId="19" borderId="1" xfId="0" applyNumberFormat="1" applyFont="1" applyFill="1" applyBorder="1" applyAlignment="1">
      <alignment horizontal="center" vertical="center" wrapText="1"/>
    </xf>
    <xf numFmtId="2" fontId="17" fillId="19" borderId="14" xfId="0" applyNumberFormat="1" applyFont="1" applyFill="1" applyBorder="1" applyAlignment="1">
      <alignment horizontal="center" vertical="center" wrapText="1"/>
    </xf>
    <xf numFmtId="2" fontId="17" fillId="19" borderId="2" xfId="0" applyNumberFormat="1" applyFont="1" applyFill="1" applyBorder="1" applyAlignment="1">
      <alignment horizontal="center" vertical="center" wrapText="1"/>
    </xf>
    <xf numFmtId="2" fontId="16" fillId="18" borderId="4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14" fillId="14" borderId="1" xfId="0" applyNumberFormat="1" applyFont="1" applyFill="1" applyBorder="1" applyAlignment="1">
      <alignment horizontal="center" vertical="center" wrapText="1"/>
    </xf>
    <xf numFmtId="164" fontId="14" fillId="11" borderId="34" xfId="0" applyNumberFormat="1" applyFont="1" applyFill="1" applyBorder="1" applyAlignment="1">
      <alignment horizontal="center" vertical="center" wrapText="1"/>
    </xf>
    <xf numFmtId="164" fontId="14" fillId="17" borderId="38" xfId="0" applyNumberFormat="1" applyFont="1" applyFill="1" applyBorder="1" applyAlignment="1">
      <alignment horizontal="center" vertical="center" wrapText="1"/>
    </xf>
    <xf numFmtId="164" fontId="14" fillId="17" borderId="2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64" fontId="14" fillId="11" borderId="44" xfId="0" applyNumberFormat="1" applyFont="1" applyFill="1" applyBorder="1" applyAlignment="1">
      <alignment horizontal="center" vertical="center" wrapText="1"/>
    </xf>
    <xf numFmtId="1" fontId="14" fillId="14" borderId="31" xfId="0" applyNumberFormat="1" applyFont="1" applyFill="1" applyBorder="1" applyAlignment="1">
      <alignment horizontal="center" vertical="center" wrapText="1"/>
    </xf>
    <xf numFmtId="2" fontId="16" fillId="12" borderId="7" xfId="0" applyNumberFormat="1" applyFont="1" applyFill="1" applyBorder="1" applyAlignment="1">
      <alignment horizontal="center" vertical="center" wrapText="1"/>
    </xf>
    <xf numFmtId="1" fontId="14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4" fontId="14" fillId="15" borderId="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8" borderId="42" xfId="0" applyFont="1" applyFill="1" applyBorder="1" applyAlignment="1">
      <alignment vertical="center" wrapText="1"/>
    </xf>
    <xf numFmtId="0" fontId="3" fillId="3" borderId="41" xfId="0" applyFont="1" applyFill="1" applyBorder="1" applyAlignment="1">
      <alignment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14" fillId="14" borderId="28" xfId="0" applyNumberFormat="1" applyFont="1" applyFill="1" applyBorder="1" applyAlignment="1">
      <alignment horizontal="center" vertical="center" wrapText="1"/>
    </xf>
    <xf numFmtId="164" fontId="14" fillId="14" borderId="30" xfId="0" applyNumberFormat="1" applyFont="1" applyFill="1" applyBorder="1" applyAlignment="1">
      <alignment horizontal="center" vertical="center" wrapText="1"/>
    </xf>
    <xf numFmtId="164" fontId="14" fillId="0" borderId="34" xfId="0" applyNumberFormat="1" applyFont="1" applyFill="1" applyBorder="1" applyAlignment="1">
      <alignment horizontal="center" vertical="center" wrapText="1"/>
    </xf>
    <xf numFmtId="1" fontId="14" fillId="14" borderId="34" xfId="0" applyNumberFormat="1" applyFont="1" applyFill="1" applyBorder="1" applyAlignment="1">
      <alignment horizontal="center" vertical="center" wrapText="1"/>
    </xf>
    <xf numFmtId="1" fontId="14" fillId="14" borderId="35" xfId="0" applyNumberFormat="1" applyFont="1" applyFill="1" applyBorder="1" applyAlignment="1">
      <alignment horizontal="center" vertical="center" wrapText="1"/>
    </xf>
    <xf numFmtId="0" fontId="3" fillId="20" borderId="42" xfId="0" applyFont="1" applyFill="1" applyBorder="1" applyAlignment="1">
      <alignment vertical="center" wrapText="1"/>
    </xf>
    <xf numFmtId="2" fontId="16" fillId="19" borderId="7" xfId="0" applyNumberFormat="1" applyFont="1" applyFill="1" applyBorder="1" applyAlignment="1">
      <alignment horizontal="center" vertical="center" wrapText="1"/>
    </xf>
    <xf numFmtId="2" fontId="16" fillId="0" borderId="26" xfId="0" applyNumberFormat="1" applyFont="1" applyFill="1" applyBorder="1" applyAlignment="1">
      <alignment horizontal="center" vertical="center" wrapText="1"/>
    </xf>
    <xf numFmtId="164" fontId="14" fillId="14" borderId="26" xfId="0" applyNumberFormat="1" applyFont="1" applyFill="1" applyBorder="1" applyAlignment="1">
      <alignment horizontal="center" vertical="center" wrapText="1"/>
    </xf>
    <xf numFmtId="164" fontId="14" fillId="14" borderId="23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64" fontId="14" fillId="14" borderId="28" xfId="0" applyNumberFormat="1" applyFont="1" applyFill="1" applyBorder="1" applyAlignment="1">
      <alignment horizontal="center" vertical="center" wrapText="1"/>
    </xf>
    <xf numFmtId="164" fontId="14" fillId="11" borderId="3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14" fillId="11" borderId="31" xfId="0" applyNumberFormat="1" applyFont="1" applyFill="1" applyBorder="1" applyAlignment="1">
      <alignment horizontal="center" vertical="center" wrapText="1"/>
    </xf>
    <xf numFmtId="2" fontId="16" fillId="18" borderId="31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4" fontId="14" fillId="11" borderId="34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16" fillId="19" borderId="31" xfId="0" applyFont="1" applyFill="1" applyBorder="1" applyAlignment="1">
      <alignment horizontal="center" vertical="center" wrapText="1"/>
    </xf>
    <xf numFmtId="2" fontId="16" fillId="19" borderId="31" xfId="0" applyNumberFormat="1" applyFont="1" applyFill="1" applyBorder="1" applyAlignment="1">
      <alignment horizontal="center" vertical="center" wrapText="1"/>
    </xf>
    <xf numFmtId="2" fontId="16" fillId="19" borderId="2" xfId="0" applyNumberFormat="1" applyFont="1" applyFill="1" applyBorder="1" applyAlignment="1">
      <alignment horizontal="center" vertical="center" wrapText="1"/>
    </xf>
    <xf numFmtId="0" fontId="3" fillId="21" borderId="1" xfId="0" applyFont="1" applyFill="1" applyBorder="1" applyAlignment="1">
      <alignment horizontal="center" vertical="center" wrapText="1"/>
    </xf>
    <xf numFmtId="164" fontId="14" fillId="21" borderId="1" xfId="0" applyNumberFormat="1" applyFont="1" applyFill="1" applyBorder="1" applyAlignment="1">
      <alignment horizontal="center" vertical="center" wrapText="1"/>
    </xf>
    <xf numFmtId="164" fontId="14" fillId="21" borderId="14" xfId="0" applyNumberFormat="1" applyFont="1" applyFill="1" applyBorder="1" applyAlignment="1">
      <alignment horizontal="center" vertical="center" wrapText="1"/>
    </xf>
    <xf numFmtId="49" fontId="14" fillId="21" borderId="3" xfId="0" applyNumberFormat="1" applyFont="1" applyFill="1" applyBorder="1" applyAlignment="1">
      <alignment horizontal="center" vertical="center" wrapText="1"/>
    </xf>
    <xf numFmtId="1" fontId="14" fillId="21" borderId="1" xfId="0" applyNumberFormat="1" applyFont="1" applyFill="1" applyBorder="1" applyAlignment="1">
      <alignment horizontal="center" vertical="center" wrapText="1"/>
    </xf>
    <xf numFmtId="1" fontId="14" fillId="21" borderId="2" xfId="0" applyNumberFormat="1" applyFont="1" applyFill="1" applyBorder="1" applyAlignment="1">
      <alignment horizontal="center" vertical="center" wrapText="1"/>
    </xf>
    <xf numFmtId="1" fontId="14" fillId="21" borderId="31" xfId="0" applyNumberFormat="1" applyFont="1" applyFill="1" applyBorder="1" applyAlignment="1">
      <alignment horizontal="center" vertical="center" wrapText="1"/>
    </xf>
    <xf numFmtId="1" fontId="14" fillId="21" borderId="23" xfId="0" applyNumberFormat="1" applyFont="1" applyFill="1" applyBorder="1" applyAlignment="1">
      <alignment horizontal="center" vertical="center" wrapText="1"/>
    </xf>
    <xf numFmtId="1" fontId="14" fillId="21" borderId="14" xfId="0" applyNumberFormat="1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2" fontId="16" fillId="0" borderId="7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vertical="center" wrapText="1"/>
    </xf>
    <xf numFmtId="2" fontId="17" fillId="0" borderId="26" xfId="0" applyNumberFormat="1" applyFont="1" applyFill="1" applyBorder="1" applyAlignment="1">
      <alignment horizontal="center" vertical="center" wrapText="1"/>
    </xf>
    <xf numFmtId="2" fontId="16" fillId="0" borderId="25" xfId="0" applyNumberFormat="1" applyFont="1" applyFill="1" applyBorder="1" applyAlignment="1">
      <alignment horizontal="center" vertical="center" wrapText="1"/>
    </xf>
    <xf numFmtId="1" fontId="14" fillId="0" borderId="22" xfId="0" applyNumberFormat="1" applyFont="1" applyFill="1" applyBorder="1" applyAlignment="1">
      <alignment horizontal="center" vertical="center" wrapText="1"/>
    </xf>
    <xf numFmtId="1" fontId="14" fillId="13" borderId="34" xfId="0" applyNumberFormat="1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164" fontId="14" fillId="0" borderId="8" xfId="0" applyNumberFormat="1" applyFont="1" applyFill="1" applyBorder="1" applyAlignment="1">
      <alignment horizontal="center" vertical="center" wrapText="1"/>
    </xf>
    <xf numFmtId="2" fontId="16" fillId="0" borderId="26" xfId="0" applyNumberFormat="1" applyFont="1" applyFill="1" applyBorder="1" applyAlignment="1">
      <alignment vertical="center" wrapText="1"/>
    </xf>
    <xf numFmtId="2" fontId="16" fillId="0" borderId="25" xfId="0" applyNumberFormat="1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6" fillId="12" borderId="2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0" fontId="16" fillId="19" borderId="2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2" fontId="17" fillId="0" borderId="53" xfId="0" applyNumberFormat="1" applyFont="1" applyFill="1" applyBorder="1" applyAlignment="1">
      <alignment horizontal="center" vertical="center" wrapText="1"/>
    </xf>
    <xf numFmtId="2" fontId="16" fillId="0" borderId="54" xfId="0" applyNumberFormat="1" applyFont="1" applyFill="1" applyBorder="1" applyAlignment="1">
      <alignment horizontal="center" vertical="center" wrapText="1"/>
    </xf>
    <xf numFmtId="1" fontId="14" fillId="0" borderId="55" xfId="0" applyNumberFormat="1" applyFont="1" applyFill="1" applyBorder="1" applyAlignment="1">
      <alignment horizontal="center" vertical="center" wrapText="1"/>
    </xf>
    <xf numFmtId="1" fontId="14" fillId="0" borderId="33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14" fillId="13" borderId="1" xfId="0" applyNumberFormat="1" applyFont="1" applyFill="1" applyBorder="1" applyAlignment="1">
      <alignment horizontal="center" vertical="center" wrapText="1"/>
    </xf>
    <xf numFmtId="0" fontId="2" fillId="0" borderId="55" xfId="0" applyFont="1" applyBorder="1" applyAlignment="1">
      <alignment vertical="center" wrapText="1"/>
    </xf>
    <xf numFmtId="1" fontId="14" fillId="21" borderId="3" xfId="0" applyNumberFormat="1" applyFont="1" applyFill="1" applyBorder="1" applyAlignment="1">
      <alignment horizontal="center" vertical="center" wrapText="1"/>
    </xf>
    <xf numFmtId="0" fontId="1" fillId="22" borderId="52" xfId="0" applyFont="1" applyFill="1" applyBorder="1" applyAlignment="1">
      <alignment vertical="center" wrapText="1"/>
    </xf>
    <xf numFmtId="0" fontId="1" fillId="22" borderId="3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14" fillId="0" borderId="17" xfId="0" applyNumberFormat="1" applyFont="1" applyFill="1" applyBorder="1" applyAlignment="1">
      <alignment horizontal="center" vertical="center" wrapText="1"/>
    </xf>
    <xf numFmtId="0" fontId="2" fillId="19" borderId="23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vertical="center" wrapText="1"/>
    </xf>
    <xf numFmtId="2" fontId="16" fillId="19" borderId="3" xfId="0" applyNumberFormat="1" applyFont="1" applyFill="1" applyBorder="1" applyAlignment="1">
      <alignment horizontal="center" vertical="center" wrapText="1"/>
    </xf>
    <xf numFmtId="49" fontId="14" fillId="21" borderId="2" xfId="0" applyNumberFormat="1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49" fontId="14" fillId="21" borderId="3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/>
    </xf>
    <xf numFmtId="0" fontId="0" fillId="19" borderId="1" xfId="0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ECFF"/>
      <rgbColor rgb="00FF0000"/>
      <rgbColor rgb="0099FF33"/>
      <rgbColor rgb="000000FF"/>
      <rgbColor rgb="00FFFF00"/>
      <rgbColor rgb="00FF00FF"/>
      <rgbColor rgb="0000FFFF"/>
      <rgbColor rgb="00800000"/>
      <rgbColor rgb="0033CC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33"/>
      <rgbColor rgb="00FFFF99"/>
      <rgbColor rgb="0099CCFF"/>
      <rgbColor rgb="00FF99CC"/>
      <rgbColor rgb="00CC99FF"/>
      <rgbColor rgb="00FFCC99"/>
      <rgbColor rgb="003366FF"/>
      <rgbColor rgb="0033CCCC"/>
      <rgbColor rgb="00FF6600"/>
      <rgbColor rgb="00FFCC00"/>
      <rgbColor rgb="00FF9900"/>
      <rgbColor rgb="00FF6600"/>
      <rgbColor rgb="00666699"/>
      <rgbColor rgb="00969696"/>
      <rgbColor rgb="00003366"/>
      <rgbColor rgb="0066FF33"/>
      <rgbColor rgb="00008000"/>
      <rgbColor rgb="00333300"/>
      <rgbColor rgb="00993300"/>
      <rgbColor rgb="00993366"/>
      <rgbColor rgb="00333399"/>
      <rgbColor rgb="00333333"/>
    </indexedColors>
    <mruColors>
      <color rgb="FFCCCCFF"/>
      <color rgb="FFF7EA3B"/>
      <color rgb="FF00CC00"/>
      <color rgb="FF009900"/>
      <color rgb="FFFBE437"/>
      <color rgb="FFFFFF66"/>
      <color rgb="FFFF66CC"/>
      <color rgb="FF00FF00"/>
      <color rgb="FFCCFF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47625</xdr:colOff>
      <xdr:row>1</xdr:row>
      <xdr:rowOff>85725</xdr:rowOff>
    </xdr:from>
    <xdr:to>
      <xdr:col>28</xdr:col>
      <xdr:colOff>609600</xdr:colOff>
      <xdr:row>1</xdr:row>
      <xdr:rowOff>981075</xdr:rowOff>
    </xdr:to>
    <xdr:pic>
      <xdr:nvPicPr>
        <xdr:cNvPr id="70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391" t="943" r="3391" b="1888"/>
        <a:stretch>
          <a:fillRect/>
        </a:stretch>
      </xdr:blipFill>
      <xdr:spPr bwMode="auto">
        <a:xfrm>
          <a:off x="11534775" y="342900"/>
          <a:ext cx="561975" cy="895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76200</xdr:colOff>
      <xdr:row>1</xdr:row>
      <xdr:rowOff>266700</xdr:rowOff>
    </xdr:from>
    <xdr:to>
      <xdr:col>24</xdr:col>
      <xdr:colOff>609600</xdr:colOff>
      <xdr:row>1</xdr:row>
      <xdr:rowOff>800100</xdr:rowOff>
    </xdr:to>
    <xdr:pic>
      <xdr:nvPicPr>
        <xdr:cNvPr id="70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8627" t="8450" r="8383" b="7042"/>
        <a:stretch>
          <a:fillRect/>
        </a:stretch>
      </xdr:blipFill>
      <xdr:spPr bwMode="auto">
        <a:xfrm>
          <a:off x="10220325" y="523875"/>
          <a:ext cx="533400" cy="533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57150</xdr:colOff>
      <xdr:row>1</xdr:row>
      <xdr:rowOff>247650</xdr:rowOff>
    </xdr:from>
    <xdr:to>
      <xdr:col>20</xdr:col>
      <xdr:colOff>609600</xdr:colOff>
      <xdr:row>1</xdr:row>
      <xdr:rowOff>800100</xdr:rowOff>
    </xdr:to>
    <xdr:pic>
      <xdr:nvPicPr>
        <xdr:cNvPr id="700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58250" y="504825"/>
          <a:ext cx="5524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92936</xdr:colOff>
      <xdr:row>1</xdr:row>
      <xdr:rowOff>255211</xdr:rowOff>
    </xdr:from>
    <xdr:to>
      <xdr:col>16</xdr:col>
      <xdr:colOff>625422</xdr:colOff>
      <xdr:row>1</xdr:row>
      <xdr:rowOff>807661</xdr:rowOff>
    </xdr:to>
    <xdr:pic>
      <xdr:nvPicPr>
        <xdr:cNvPr id="700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36470" y="511653"/>
          <a:ext cx="532486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</xdr:row>
      <xdr:rowOff>142875</xdr:rowOff>
    </xdr:from>
    <xdr:to>
      <xdr:col>4</xdr:col>
      <xdr:colOff>609600</xdr:colOff>
      <xdr:row>1</xdr:row>
      <xdr:rowOff>990600</xdr:rowOff>
    </xdr:to>
    <xdr:pic>
      <xdr:nvPicPr>
        <xdr:cNvPr id="70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400425" y="400050"/>
          <a:ext cx="5619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47625</xdr:colOff>
      <xdr:row>1</xdr:row>
      <xdr:rowOff>152400</xdr:rowOff>
    </xdr:from>
    <xdr:to>
      <xdr:col>8</xdr:col>
      <xdr:colOff>619125</xdr:colOff>
      <xdr:row>1</xdr:row>
      <xdr:rowOff>990600</xdr:rowOff>
    </xdr:to>
    <xdr:pic>
      <xdr:nvPicPr>
        <xdr:cNvPr id="701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15982" t="13182" r="18539" b="13184"/>
        <a:stretch>
          <a:fillRect/>
        </a:stretch>
      </xdr:blipFill>
      <xdr:spPr bwMode="auto">
        <a:xfrm>
          <a:off x="4772025" y="409575"/>
          <a:ext cx="571500" cy="838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47625</xdr:colOff>
      <xdr:row>1</xdr:row>
      <xdr:rowOff>152400</xdr:rowOff>
    </xdr:from>
    <xdr:to>
      <xdr:col>12</xdr:col>
      <xdr:colOff>619125</xdr:colOff>
      <xdr:row>1</xdr:row>
      <xdr:rowOff>990600</xdr:rowOff>
    </xdr:to>
    <xdr:pic>
      <xdr:nvPicPr>
        <xdr:cNvPr id="7015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162675" y="409575"/>
          <a:ext cx="5715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cxnSp macro="">
      <xdr:nvCxnSpPr>
        <xdr:cNvPr id="7016" name="AutoShape 88"/>
        <xdr:cNvCxnSpPr>
          <a:cxnSpLocks noChangeShapeType="1"/>
        </xdr:cNvCxnSpPr>
      </xdr:nvCxnSpPr>
      <xdr:spPr bwMode="auto">
        <a:xfrm flipH="1" flipV="1">
          <a:off x="5400675" y="8277225"/>
          <a:ext cx="0" cy="0"/>
        </a:xfrm>
        <a:prstGeom prst="straightConnector1">
          <a:avLst/>
        </a:prstGeom>
        <a:noFill/>
        <a:ln w="9525">
          <a:solidFill>
            <a:srgbClr val="800080"/>
          </a:solidFill>
          <a:round/>
          <a:headEnd/>
          <a:tailEnd/>
        </a:ln>
      </xdr:spPr>
    </xdr:cxnSp>
    <xdr:clientData/>
  </xdr:twoCellAnchor>
  <xdr:twoCellAnchor>
    <xdr:from>
      <xdr:col>9</xdr:col>
      <xdr:colOff>0</xdr:colOff>
      <xdr:row>29</xdr:row>
      <xdr:rowOff>9525</xdr:rowOff>
    </xdr:from>
    <xdr:to>
      <xdr:col>9</xdr:col>
      <xdr:colOff>0</xdr:colOff>
      <xdr:row>30</xdr:row>
      <xdr:rowOff>0</xdr:rowOff>
    </xdr:to>
    <xdr:cxnSp macro="">
      <xdr:nvCxnSpPr>
        <xdr:cNvPr id="7017" name="AutoShape 89"/>
        <xdr:cNvCxnSpPr>
          <a:cxnSpLocks noChangeShapeType="1"/>
        </xdr:cNvCxnSpPr>
      </xdr:nvCxnSpPr>
      <xdr:spPr bwMode="auto">
        <a:xfrm flipH="1" flipV="1">
          <a:off x="5400675" y="8610600"/>
          <a:ext cx="0" cy="314325"/>
        </a:xfrm>
        <a:prstGeom prst="straightConnector1">
          <a:avLst/>
        </a:prstGeom>
        <a:noFill/>
        <a:ln w="9525">
          <a:solidFill>
            <a:srgbClr val="800080"/>
          </a:solidFill>
          <a:round/>
          <a:headEnd/>
          <a:tailEnd/>
        </a:ln>
      </xdr:spPr>
    </xdr:cxnSp>
    <xdr:clientData/>
  </xdr:twoCellAnchor>
  <xdr:twoCellAnchor>
    <xdr:from>
      <xdr:col>9</xdr:col>
      <xdr:colOff>0</xdr:colOff>
      <xdr:row>30</xdr:row>
      <xdr:rowOff>9525</xdr:rowOff>
    </xdr:from>
    <xdr:to>
      <xdr:col>9</xdr:col>
      <xdr:colOff>0</xdr:colOff>
      <xdr:row>31</xdr:row>
      <xdr:rowOff>0</xdr:rowOff>
    </xdr:to>
    <xdr:cxnSp macro="">
      <xdr:nvCxnSpPr>
        <xdr:cNvPr id="7018" name="AutoShape 90"/>
        <xdr:cNvCxnSpPr>
          <a:cxnSpLocks noChangeShapeType="1"/>
        </xdr:cNvCxnSpPr>
      </xdr:nvCxnSpPr>
      <xdr:spPr bwMode="auto">
        <a:xfrm flipH="1" flipV="1">
          <a:off x="5400675" y="8934450"/>
          <a:ext cx="0" cy="314325"/>
        </a:xfrm>
        <a:prstGeom prst="straightConnector1">
          <a:avLst/>
        </a:prstGeom>
        <a:noFill/>
        <a:ln w="9525">
          <a:solidFill>
            <a:srgbClr val="800080"/>
          </a:solidFill>
          <a:round/>
          <a:headEnd/>
          <a:tailEnd/>
        </a:ln>
      </xdr:spPr>
    </xdr:cxnSp>
    <xdr:clientData/>
  </xdr:twoCellAnchor>
  <xdr:twoCellAnchor>
    <xdr:from>
      <xdr:col>9</xdr:col>
      <xdr:colOff>0</xdr:colOff>
      <xdr:row>31</xdr:row>
      <xdr:rowOff>9525</xdr:rowOff>
    </xdr:from>
    <xdr:to>
      <xdr:col>9</xdr:col>
      <xdr:colOff>0</xdr:colOff>
      <xdr:row>32</xdr:row>
      <xdr:rowOff>0</xdr:rowOff>
    </xdr:to>
    <xdr:cxnSp macro="">
      <xdr:nvCxnSpPr>
        <xdr:cNvPr id="7019" name="AutoShape 91"/>
        <xdr:cNvCxnSpPr>
          <a:cxnSpLocks noChangeShapeType="1"/>
        </xdr:cNvCxnSpPr>
      </xdr:nvCxnSpPr>
      <xdr:spPr bwMode="auto">
        <a:xfrm flipH="1" flipV="1">
          <a:off x="5400675" y="9582150"/>
          <a:ext cx="0" cy="314325"/>
        </a:xfrm>
        <a:prstGeom prst="straightConnector1">
          <a:avLst/>
        </a:prstGeom>
        <a:noFill/>
        <a:ln w="9525">
          <a:solidFill>
            <a:srgbClr val="800080"/>
          </a:solidFill>
          <a:round/>
          <a:headEnd/>
          <a:tailEnd/>
        </a:ln>
      </xdr:spPr>
    </xdr:cxnSp>
    <xdr:clientData/>
  </xdr:twoCellAnchor>
  <xdr:twoCellAnchor>
    <xdr:from>
      <xdr:col>13</xdr:col>
      <xdr:colOff>0</xdr:colOff>
      <xdr:row>31</xdr:row>
      <xdr:rowOff>9525</xdr:rowOff>
    </xdr:from>
    <xdr:to>
      <xdr:col>13</xdr:col>
      <xdr:colOff>0</xdr:colOff>
      <xdr:row>32</xdr:row>
      <xdr:rowOff>0</xdr:rowOff>
    </xdr:to>
    <xdr:cxnSp macro="">
      <xdr:nvCxnSpPr>
        <xdr:cNvPr id="7020" name="AutoShape 92"/>
        <xdr:cNvCxnSpPr>
          <a:cxnSpLocks noChangeShapeType="1"/>
        </xdr:cNvCxnSpPr>
      </xdr:nvCxnSpPr>
      <xdr:spPr bwMode="auto">
        <a:xfrm flipH="1" flipV="1">
          <a:off x="6791325" y="9582150"/>
          <a:ext cx="0" cy="314325"/>
        </a:xfrm>
        <a:prstGeom prst="straightConnector1">
          <a:avLst/>
        </a:prstGeom>
        <a:noFill/>
        <a:ln w="9525">
          <a:solidFill>
            <a:srgbClr val="800080"/>
          </a:solidFill>
          <a:round/>
          <a:headEnd/>
          <a:tailEnd/>
        </a:ln>
      </xdr:spPr>
    </xdr:cxnSp>
    <xdr:clientData/>
  </xdr:twoCellAnchor>
  <xdr:twoCellAnchor>
    <xdr:from>
      <xdr:col>5</xdr:col>
      <xdr:colOff>0</xdr:colOff>
      <xdr:row>23</xdr:row>
      <xdr:rowOff>9525</xdr:rowOff>
    </xdr:from>
    <xdr:to>
      <xdr:col>5</xdr:col>
      <xdr:colOff>0</xdr:colOff>
      <xdr:row>24</xdr:row>
      <xdr:rowOff>0</xdr:rowOff>
    </xdr:to>
    <xdr:cxnSp macro="">
      <xdr:nvCxnSpPr>
        <xdr:cNvPr id="7021" name="AutoShape 94"/>
        <xdr:cNvCxnSpPr>
          <a:cxnSpLocks noChangeShapeType="1"/>
        </xdr:cNvCxnSpPr>
      </xdr:nvCxnSpPr>
      <xdr:spPr bwMode="auto">
        <a:xfrm flipH="1" flipV="1">
          <a:off x="4029075" y="7315200"/>
          <a:ext cx="0" cy="314325"/>
        </a:xfrm>
        <a:prstGeom prst="straightConnector1">
          <a:avLst/>
        </a:prstGeom>
        <a:noFill/>
        <a:ln w="9525">
          <a:solidFill>
            <a:srgbClr val="800080"/>
          </a:solidFill>
          <a:round/>
          <a:headEnd/>
          <a:tailEnd/>
        </a:ln>
      </xdr:spPr>
    </xdr:cxnSp>
    <xdr:clientData/>
  </xdr:twoCellAnchor>
  <xdr:twoCellAnchor>
    <xdr:from>
      <xdr:col>28</xdr:col>
      <xdr:colOff>19050</xdr:colOff>
      <xdr:row>30</xdr:row>
      <xdr:rowOff>314325</xdr:rowOff>
    </xdr:from>
    <xdr:to>
      <xdr:col>29</xdr:col>
      <xdr:colOff>0</xdr:colOff>
      <xdr:row>31</xdr:row>
      <xdr:rowOff>0</xdr:rowOff>
    </xdr:to>
    <xdr:cxnSp macro="">
      <xdr:nvCxnSpPr>
        <xdr:cNvPr id="7030" name="AutoShape 118"/>
        <xdr:cNvCxnSpPr>
          <a:cxnSpLocks noChangeShapeType="1"/>
        </xdr:cNvCxnSpPr>
      </xdr:nvCxnSpPr>
      <xdr:spPr bwMode="auto">
        <a:xfrm flipV="1">
          <a:off x="11506200" y="9239250"/>
          <a:ext cx="657225" cy="304800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16</xdr:col>
      <xdr:colOff>618580</xdr:colOff>
      <xdr:row>14</xdr:row>
      <xdr:rowOff>230</xdr:rowOff>
    </xdr:from>
    <xdr:to>
      <xdr:col>16</xdr:col>
      <xdr:colOff>622596</xdr:colOff>
      <xdr:row>14</xdr:row>
      <xdr:rowOff>275422</xdr:rowOff>
    </xdr:to>
    <xdr:cxnSp macro="">
      <xdr:nvCxnSpPr>
        <xdr:cNvPr id="42" name="AutoShape 118"/>
        <xdr:cNvCxnSpPr>
          <a:cxnSpLocks noChangeShapeType="1"/>
        </xdr:cNvCxnSpPr>
      </xdr:nvCxnSpPr>
      <xdr:spPr bwMode="auto">
        <a:xfrm rot="5400000" flipH="1" flipV="1">
          <a:off x="8526325" y="5427485"/>
          <a:ext cx="275192" cy="4016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16</xdr:col>
      <xdr:colOff>603599</xdr:colOff>
      <xdr:row>18</xdr:row>
      <xdr:rowOff>12872</xdr:rowOff>
    </xdr:from>
    <xdr:to>
      <xdr:col>16</xdr:col>
      <xdr:colOff>617841</xdr:colOff>
      <xdr:row>20</xdr:row>
      <xdr:rowOff>298375</xdr:rowOff>
    </xdr:to>
    <xdr:cxnSp macro="">
      <xdr:nvCxnSpPr>
        <xdr:cNvPr id="44" name="AutoShape 118"/>
        <xdr:cNvCxnSpPr>
          <a:cxnSpLocks noChangeShapeType="1"/>
        </xdr:cNvCxnSpPr>
      </xdr:nvCxnSpPr>
      <xdr:spPr bwMode="auto">
        <a:xfrm rot="5400000" flipH="1" flipV="1">
          <a:off x="8203813" y="7099178"/>
          <a:ext cx="929084" cy="14242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31</xdr:col>
      <xdr:colOff>264586</xdr:colOff>
      <xdr:row>13</xdr:row>
      <xdr:rowOff>26460</xdr:rowOff>
    </xdr:from>
    <xdr:to>
      <xdr:col>31</xdr:col>
      <xdr:colOff>264587</xdr:colOff>
      <xdr:row>15</xdr:row>
      <xdr:rowOff>0</xdr:rowOff>
    </xdr:to>
    <xdr:cxnSp macro="">
      <xdr:nvCxnSpPr>
        <xdr:cNvPr id="45" name="AutoShape 118"/>
        <xdr:cNvCxnSpPr>
          <a:cxnSpLocks noChangeShapeType="1"/>
        </xdr:cNvCxnSpPr>
      </xdr:nvCxnSpPr>
      <xdr:spPr bwMode="auto">
        <a:xfrm rot="16200000" flipV="1">
          <a:off x="14102296" y="5304896"/>
          <a:ext cx="608540" cy="1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16</xdr:col>
      <xdr:colOff>578893</xdr:colOff>
      <xdr:row>4</xdr:row>
      <xdr:rowOff>230</xdr:rowOff>
    </xdr:from>
    <xdr:to>
      <xdr:col>16</xdr:col>
      <xdr:colOff>582909</xdr:colOff>
      <xdr:row>4</xdr:row>
      <xdr:rowOff>275422</xdr:rowOff>
    </xdr:to>
    <xdr:cxnSp macro="">
      <xdr:nvCxnSpPr>
        <xdr:cNvPr id="53" name="AutoShape 118"/>
        <xdr:cNvCxnSpPr>
          <a:cxnSpLocks noChangeShapeType="1"/>
        </xdr:cNvCxnSpPr>
      </xdr:nvCxnSpPr>
      <xdr:spPr bwMode="auto">
        <a:xfrm rot="5400000" flipH="1" flipV="1">
          <a:off x="8486638" y="2252485"/>
          <a:ext cx="275192" cy="4016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2</xdr:col>
      <xdr:colOff>12872</xdr:colOff>
      <xdr:row>21</xdr:row>
      <xdr:rowOff>12872</xdr:rowOff>
    </xdr:from>
    <xdr:to>
      <xdr:col>29</xdr:col>
      <xdr:colOff>0</xdr:colOff>
      <xdr:row>23</xdr:row>
      <xdr:rowOff>0</xdr:rowOff>
    </xdr:to>
    <xdr:cxnSp macro="">
      <xdr:nvCxnSpPr>
        <xdr:cNvPr id="54" name="AutoShape 118"/>
        <xdr:cNvCxnSpPr>
          <a:cxnSpLocks noChangeShapeType="1"/>
        </xdr:cNvCxnSpPr>
      </xdr:nvCxnSpPr>
      <xdr:spPr bwMode="auto">
        <a:xfrm flipV="1">
          <a:off x="3372365" y="7607129"/>
          <a:ext cx="9383412" cy="630709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31</xdr:col>
      <xdr:colOff>38617</xdr:colOff>
      <xdr:row>15</xdr:row>
      <xdr:rowOff>360</xdr:rowOff>
    </xdr:from>
    <xdr:to>
      <xdr:col>32</xdr:col>
      <xdr:colOff>0</xdr:colOff>
      <xdr:row>16</xdr:row>
      <xdr:rowOff>308920</xdr:rowOff>
    </xdr:to>
    <xdr:cxnSp macro="">
      <xdr:nvCxnSpPr>
        <xdr:cNvPr id="29" name="AutoShape 27"/>
        <xdr:cNvCxnSpPr>
          <a:cxnSpLocks noChangeShapeType="1"/>
        </xdr:cNvCxnSpPr>
      </xdr:nvCxnSpPr>
      <xdr:spPr bwMode="auto">
        <a:xfrm rot="5400000" flipH="1" flipV="1">
          <a:off x="14158965" y="5715181"/>
          <a:ext cx="630350" cy="527735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2</xdr:col>
      <xdr:colOff>12254</xdr:colOff>
      <xdr:row>23</xdr:row>
      <xdr:rowOff>14654</xdr:rowOff>
    </xdr:from>
    <xdr:to>
      <xdr:col>29</xdr:col>
      <xdr:colOff>29308</xdr:colOff>
      <xdr:row>26</xdr:row>
      <xdr:rowOff>272790</xdr:rowOff>
    </xdr:to>
    <xdr:cxnSp macro="">
      <xdr:nvCxnSpPr>
        <xdr:cNvPr id="23" name="AutoShape 118"/>
        <xdr:cNvCxnSpPr>
          <a:cxnSpLocks noChangeShapeType="1"/>
        </xdr:cNvCxnSpPr>
      </xdr:nvCxnSpPr>
      <xdr:spPr bwMode="auto">
        <a:xfrm flipV="1">
          <a:off x="3382639" y="8264769"/>
          <a:ext cx="9952361" cy="1225290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2</xdr:col>
      <xdr:colOff>0</xdr:colOff>
      <xdr:row>15</xdr:row>
      <xdr:rowOff>12871</xdr:rowOff>
    </xdr:from>
    <xdr:to>
      <xdr:col>29</xdr:col>
      <xdr:colOff>12872</xdr:colOff>
      <xdr:row>18</xdr:row>
      <xdr:rowOff>12873</xdr:rowOff>
    </xdr:to>
    <xdr:cxnSp macro="">
      <xdr:nvCxnSpPr>
        <xdr:cNvPr id="25" name="AutoShape 118"/>
        <xdr:cNvCxnSpPr>
          <a:cxnSpLocks noChangeShapeType="1"/>
        </xdr:cNvCxnSpPr>
      </xdr:nvCxnSpPr>
      <xdr:spPr bwMode="auto">
        <a:xfrm flipV="1">
          <a:off x="3359493" y="5676385"/>
          <a:ext cx="9409156" cy="965373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31</xdr:col>
      <xdr:colOff>38617</xdr:colOff>
      <xdr:row>17</xdr:row>
      <xdr:rowOff>360</xdr:rowOff>
    </xdr:from>
    <xdr:to>
      <xdr:col>32</xdr:col>
      <xdr:colOff>0</xdr:colOff>
      <xdr:row>18</xdr:row>
      <xdr:rowOff>308920</xdr:rowOff>
    </xdr:to>
    <xdr:cxnSp macro="">
      <xdr:nvCxnSpPr>
        <xdr:cNvPr id="26" name="AutoShape 27"/>
        <xdr:cNvCxnSpPr>
          <a:cxnSpLocks noChangeShapeType="1"/>
        </xdr:cNvCxnSpPr>
      </xdr:nvCxnSpPr>
      <xdr:spPr bwMode="auto">
        <a:xfrm rot="5400000" flipH="1" flipV="1">
          <a:off x="13449144" y="6328564"/>
          <a:ext cx="630944" cy="606152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31</xdr:col>
      <xdr:colOff>25744</xdr:colOff>
      <xdr:row>17</xdr:row>
      <xdr:rowOff>25743</xdr:rowOff>
    </xdr:from>
    <xdr:to>
      <xdr:col>32</xdr:col>
      <xdr:colOff>25746</xdr:colOff>
      <xdr:row>19</xdr:row>
      <xdr:rowOff>0</xdr:rowOff>
    </xdr:to>
    <xdr:cxnSp macro="">
      <xdr:nvCxnSpPr>
        <xdr:cNvPr id="27" name="AutoShape 27"/>
        <xdr:cNvCxnSpPr>
          <a:cxnSpLocks noChangeShapeType="1"/>
        </xdr:cNvCxnSpPr>
      </xdr:nvCxnSpPr>
      <xdr:spPr bwMode="auto">
        <a:xfrm flipH="1" flipV="1">
          <a:off x="14197399" y="6332838"/>
          <a:ext cx="566354" cy="617838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16</xdr:col>
      <xdr:colOff>23685</xdr:colOff>
      <xdr:row>4</xdr:row>
      <xdr:rowOff>0</xdr:rowOff>
    </xdr:from>
    <xdr:to>
      <xdr:col>17</xdr:col>
      <xdr:colOff>3</xdr:colOff>
      <xdr:row>4</xdr:row>
      <xdr:rowOff>319731</xdr:rowOff>
    </xdr:to>
    <xdr:cxnSp macro="">
      <xdr:nvCxnSpPr>
        <xdr:cNvPr id="30" name="AutoShape 27"/>
        <xdr:cNvCxnSpPr>
          <a:cxnSpLocks noChangeShapeType="1"/>
        </xdr:cNvCxnSpPr>
      </xdr:nvCxnSpPr>
      <xdr:spPr bwMode="auto">
        <a:xfrm flipV="1">
          <a:off x="8081320" y="2123818"/>
          <a:ext cx="658514" cy="319731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20</xdr:col>
      <xdr:colOff>34497</xdr:colOff>
      <xdr:row>4</xdr:row>
      <xdr:rowOff>0</xdr:rowOff>
    </xdr:from>
    <xdr:to>
      <xdr:col>21</xdr:col>
      <xdr:colOff>12871</xdr:colOff>
      <xdr:row>4</xdr:row>
      <xdr:rowOff>291929</xdr:rowOff>
    </xdr:to>
    <xdr:cxnSp macro="">
      <xdr:nvCxnSpPr>
        <xdr:cNvPr id="31" name="AutoShape 27"/>
        <xdr:cNvCxnSpPr>
          <a:cxnSpLocks noChangeShapeType="1"/>
        </xdr:cNvCxnSpPr>
      </xdr:nvCxnSpPr>
      <xdr:spPr bwMode="auto">
        <a:xfrm flipV="1">
          <a:off x="9430781" y="2123818"/>
          <a:ext cx="660570" cy="291929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20</xdr:col>
      <xdr:colOff>0</xdr:colOff>
      <xdr:row>3</xdr:row>
      <xdr:rowOff>319732</xdr:rowOff>
    </xdr:from>
    <xdr:to>
      <xdr:col>21</xdr:col>
      <xdr:colOff>25743</xdr:colOff>
      <xdr:row>5</xdr:row>
      <xdr:rowOff>0</xdr:rowOff>
    </xdr:to>
    <xdr:cxnSp macro="">
      <xdr:nvCxnSpPr>
        <xdr:cNvPr id="34" name="AutoShape 27"/>
        <xdr:cNvCxnSpPr>
          <a:cxnSpLocks noChangeShapeType="1"/>
        </xdr:cNvCxnSpPr>
      </xdr:nvCxnSpPr>
      <xdr:spPr bwMode="auto">
        <a:xfrm>
          <a:off x="9396284" y="2121759"/>
          <a:ext cx="707939" cy="323849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15</xdr:col>
      <xdr:colOff>281117</xdr:colOff>
      <xdr:row>3</xdr:row>
      <xdr:rowOff>317673</xdr:rowOff>
    </xdr:from>
    <xdr:to>
      <xdr:col>17</xdr:col>
      <xdr:colOff>23684</xdr:colOff>
      <xdr:row>4</xdr:row>
      <xdr:rowOff>319731</xdr:rowOff>
    </xdr:to>
    <xdr:cxnSp macro="">
      <xdr:nvCxnSpPr>
        <xdr:cNvPr id="36" name="AutoShape 27"/>
        <xdr:cNvCxnSpPr>
          <a:cxnSpLocks noChangeShapeType="1"/>
        </xdr:cNvCxnSpPr>
      </xdr:nvCxnSpPr>
      <xdr:spPr bwMode="auto">
        <a:xfrm>
          <a:off x="8055576" y="2119700"/>
          <a:ext cx="707939" cy="323849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9</xdr:col>
      <xdr:colOff>0</xdr:colOff>
      <xdr:row>32</xdr:row>
      <xdr:rowOff>9525</xdr:rowOff>
    </xdr:from>
    <xdr:to>
      <xdr:col>9</xdr:col>
      <xdr:colOff>0</xdr:colOff>
      <xdr:row>33</xdr:row>
      <xdr:rowOff>0</xdr:rowOff>
    </xdr:to>
    <xdr:cxnSp macro="">
      <xdr:nvCxnSpPr>
        <xdr:cNvPr id="41" name="AutoShape 91"/>
        <xdr:cNvCxnSpPr>
          <a:cxnSpLocks noChangeShapeType="1"/>
        </xdr:cNvCxnSpPr>
      </xdr:nvCxnSpPr>
      <xdr:spPr bwMode="auto">
        <a:xfrm flipH="1" flipV="1">
          <a:off x="6011047" y="10821687"/>
          <a:ext cx="0" cy="312266"/>
        </a:xfrm>
        <a:prstGeom prst="straightConnector1">
          <a:avLst/>
        </a:prstGeom>
        <a:noFill/>
        <a:ln w="9525">
          <a:solidFill>
            <a:srgbClr val="800080"/>
          </a:solidFill>
          <a:round/>
          <a:headEnd/>
          <a:tailEnd/>
        </a:ln>
      </xdr:spPr>
    </xdr:cxnSp>
    <xdr:clientData/>
  </xdr:twoCellAnchor>
  <xdr:twoCellAnchor>
    <xdr:from>
      <xdr:col>13</xdr:col>
      <xdr:colOff>0</xdr:colOff>
      <xdr:row>32</xdr:row>
      <xdr:rowOff>9525</xdr:rowOff>
    </xdr:from>
    <xdr:to>
      <xdr:col>13</xdr:col>
      <xdr:colOff>0</xdr:colOff>
      <xdr:row>33</xdr:row>
      <xdr:rowOff>0</xdr:rowOff>
    </xdr:to>
    <xdr:cxnSp macro="">
      <xdr:nvCxnSpPr>
        <xdr:cNvPr id="43" name="AutoShape 92"/>
        <xdr:cNvCxnSpPr>
          <a:cxnSpLocks noChangeShapeType="1"/>
        </xdr:cNvCxnSpPr>
      </xdr:nvCxnSpPr>
      <xdr:spPr bwMode="auto">
        <a:xfrm flipH="1" flipV="1">
          <a:off x="7401182" y="10821687"/>
          <a:ext cx="0" cy="312266"/>
        </a:xfrm>
        <a:prstGeom prst="straightConnector1">
          <a:avLst/>
        </a:prstGeom>
        <a:noFill/>
        <a:ln w="9525">
          <a:solidFill>
            <a:srgbClr val="800080"/>
          </a:solidFill>
          <a:round/>
          <a:headEnd/>
          <a:tailEnd/>
        </a:ln>
      </xdr:spPr>
    </xdr:cxnSp>
    <xdr:clientData/>
  </xdr:twoCellAnchor>
  <xdr:twoCellAnchor>
    <xdr:from>
      <xdr:col>2</xdr:col>
      <xdr:colOff>25743</xdr:colOff>
      <xdr:row>30</xdr:row>
      <xdr:rowOff>308918</xdr:rowOff>
    </xdr:from>
    <xdr:to>
      <xdr:col>28</xdr:col>
      <xdr:colOff>669324</xdr:colOff>
      <xdr:row>31</xdr:row>
      <xdr:rowOff>296047</xdr:rowOff>
    </xdr:to>
    <xdr:cxnSp macro="">
      <xdr:nvCxnSpPr>
        <xdr:cNvPr id="46" name="AutoShape 118"/>
        <xdr:cNvCxnSpPr>
          <a:cxnSpLocks noChangeShapeType="1"/>
        </xdr:cNvCxnSpPr>
      </xdr:nvCxnSpPr>
      <xdr:spPr bwMode="auto">
        <a:xfrm flipV="1">
          <a:off x="3385236" y="10155709"/>
          <a:ext cx="9357669" cy="308919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2</xdr:col>
      <xdr:colOff>23684</xdr:colOff>
      <xdr:row>6</xdr:row>
      <xdr:rowOff>0</xdr:rowOff>
    </xdr:from>
    <xdr:to>
      <xdr:col>29</xdr:col>
      <xdr:colOff>12872</xdr:colOff>
      <xdr:row>6</xdr:row>
      <xdr:rowOff>319733</xdr:rowOff>
    </xdr:to>
    <xdr:cxnSp macro="">
      <xdr:nvCxnSpPr>
        <xdr:cNvPr id="47" name="AutoShape 118"/>
        <xdr:cNvCxnSpPr>
          <a:cxnSpLocks noChangeShapeType="1"/>
        </xdr:cNvCxnSpPr>
      </xdr:nvCxnSpPr>
      <xdr:spPr bwMode="auto">
        <a:xfrm flipV="1">
          <a:off x="3394069" y="2769577"/>
          <a:ext cx="9924495" cy="319733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1</xdr:col>
      <xdr:colOff>47368</xdr:colOff>
      <xdr:row>12</xdr:row>
      <xdr:rowOff>308919</xdr:rowOff>
    </xdr:from>
    <xdr:to>
      <xdr:col>29</xdr:col>
      <xdr:colOff>25743</xdr:colOff>
      <xdr:row>13</xdr:row>
      <xdr:rowOff>291931</xdr:rowOff>
    </xdr:to>
    <xdr:cxnSp macro="">
      <xdr:nvCxnSpPr>
        <xdr:cNvPr id="48" name="AutoShape 118"/>
        <xdr:cNvCxnSpPr>
          <a:cxnSpLocks noChangeShapeType="1"/>
        </xdr:cNvCxnSpPr>
      </xdr:nvCxnSpPr>
      <xdr:spPr bwMode="auto">
        <a:xfrm flipV="1">
          <a:off x="3355375" y="5007061"/>
          <a:ext cx="9426145" cy="304802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8</xdr:col>
      <xdr:colOff>13288</xdr:colOff>
      <xdr:row>4</xdr:row>
      <xdr:rowOff>6931</xdr:rowOff>
    </xdr:from>
    <xdr:to>
      <xdr:col>8</xdr:col>
      <xdr:colOff>667346</xdr:colOff>
      <xdr:row>5</xdr:row>
      <xdr:rowOff>6109</xdr:rowOff>
    </xdr:to>
    <xdr:cxnSp macro="">
      <xdr:nvCxnSpPr>
        <xdr:cNvPr id="35" name="AutoShape 27"/>
        <xdr:cNvCxnSpPr>
          <a:cxnSpLocks noChangeShapeType="1"/>
        </xdr:cNvCxnSpPr>
      </xdr:nvCxnSpPr>
      <xdr:spPr bwMode="auto">
        <a:xfrm flipV="1">
          <a:off x="5526798" y="2122580"/>
          <a:ext cx="654058" cy="319731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8</xdr:col>
      <xdr:colOff>18317</xdr:colOff>
      <xdr:row>4</xdr:row>
      <xdr:rowOff>9159</xdr:rowOff>
    </xdr:from>
    <xdr:to>
      <xdr:col>9</xdr:col>
      <xdr:colOff>13287</xdr:colOff>
      <xdr:row>5</xdr:row>
      <xdr:rowOff>6109</xdr:rowOff>
    </xdr:to>
    <xdr:cxnSp macro="">
      <xdr:nvCxnSpPr>
        <xdr:cNvPr id="37" name="AutoShape 27"/>
        <xdr:cNvCxnSpPr>
          <a:cxnSpLocks noChangeShapeType="1"/>
        </xdr:cNvCxnSpPr>
      </xdr:nvCxnSpPr>
      <xdr:spPr bwMode="auto">
        <a:xfrm>
          <a:off x="5531827" y="2124808"/>
          <a:ext cx="672710" cy="317503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4</xdr:col>
      <xdr:colOff>27476</xdr:colOff>
      <xdr:row>4</xdr:row>
      <xdr:rowOff>9159</xdr:rowOff>
    </xdr:from>
    <xdr:to>
      <xdr:col>5</xdr:col>
      <xdr:colOff>0</xdr:colOff>
      <xdr:row>5</xdr:row>
      <xdr:rowOff>9160</xdr:rowOff>
    </xdr:to>
    <xdr:cxnSp macro="">
      <xdr:nvCxnSpPr>
        <xdr:cNvPr id="38" name="AutoShape 27"/>
        <xdr:cNvCxnSpPr>
          <a:cxnSpLocks noChangeShapeType="1"/>
        </xdr:cNvCxnSpPr>
      </xdr:nvCxnSpPr>
      <xdr:spPr bwMode="auto">
        <a:xfrm flipV="1">
          <a:off x="4075601" y="2124808"/>
          <a:ext cx="650264" cy="320554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10981</xdr:colOff>
      <xdr:row>4</xdr:row>
      <xdr:rowOff>19071</xdr:rowOff>
    </xdr:from>
    <xdr:to>
      <xdr:col>5</xdr:col>
      <xdr:colOff>0</xdr:colOff>
      <xdr:row>5</xdr:row>
      <xdr:rowOff>9159</xdr:rowOff>
    </xdr:to>
    <xdr:cxnSp macro="">
      <xdr:nvCxnSpPr>
        <xdr:cNvPr id="39" name="AutoShape 27"/>
        <xdr:cNvCxnSpPr>
          <a:cxnSpLocks noChangeShapeType="1"/>
        </xdr:cNvCxnSpPr>
      </xdr:nvCxnSpPr>
      <xdr:spPr bwMode="auto">
        <a:xfrm>
          <a:off x="4059106" y="2134720"/>
          <a:ext cx="666759" cy="310641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1</xdr:col>
      <xdr:colOff>43606</xdr:colOff>
      <xdr:row>12</xdr:row>
      <xdr:rowOff>303176</xdr:rowOff>
    </xdr:from>
    <xdr:to>
      <xdr:col>29</xdr:col>
      <xdr:colOff>21981</xdr:colOff>
      <xdr:row>13</xdr:row>
      <xdr:rowOff>286188</xdr:rowOff>
    </xdr:to>
    <xdr:cxnSp macro="">
      <xdr:nvCxnSpPr>
        <xdr:cNvPr id="40" name="AutoShape 118"/>
        <xdr:cNvCxnSpPr>
          <a:cxnSpLocks noChangeShapeType="1"/>
        </xdr:cNvCxnSpPr>
      </xdr:nvCxnSpPr>
      <xdr:spPr bwMode="auto">
        <a:xfrm flipV="1">
          <a:off x="3355375" y="5007061"/>
          <a:ext cx="9972298" cy="305396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1</xdr:col>
      <xdr:colOff>34812</xdr:colOff>
      <xdr:row>11</xdr:row>
      <xdr:rowOff>294379</xdr:rowOff>
    </xdr:from>
    <xdr:to>
      <xdr:col>29</xdr:col>
      <xdr:colOff>13187</xdr:colOff>
      <xdr:row>12</xdr:row>
      <xdr:rowOff>277390</xdr:rowOff>
    </xdr:to>
    <xdr:cxnSp macro="">
      <xdr:nvCxnSpPr>
        <xdr:cNvPr id="49" name="AutoShape 118"/>
        <xdr:cNvCxnSpPr>
          <a:cxnSpLocks noChangeShapeType="1"/>
        </xdr:cNvCxnSpPr>
      </xdr:nvCxnSpPr>
      <xdr:spPr bwMode="auto">
        <a:xfrm flipV="1">
          <a:off x="3346581" y="4675879"/>
          <a:ext cx="9972298" cy="305396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2</xdr:col>
      <xdr:colOff>14892</xdr:colOff>
      <xdr:row>4</xdr:row>
      <xdr:rowOff>5862</xdr:rowOff>
    </xdr:from>
    <xdr:to>
      <xdr:col>29</xdr:col>
      <xdr:colOff>4080</xdr:colOff>
      <xdr:row>5</xdr:row>
      <xdr:rowOff>3211</xdr:rowOff>
    </xdr:to>
    <xdr:cxnSp macro="">
      <xdr:nvCxnSpPr>
        <xdr:cNvPr id="57" name="AutoShape 118"/>
        <xdr:cNvCxnSpPr>
          <a:cxnSpLocks noChangeShapeType="1"/>
        </xdr:cNvCxnSpPr>
      </xdr:nvCxnSpPr>
      <xdr:spPr bwMode="auto">
        <a:xfrm flipV="1">
          <a:off x="3385277" y="2130670"/>
          <a:ext cx="9924495" cy="319733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2</xdr:col>
      <xdr:colOff>64714</xdr:colOff>
      <xdr:row>4</xdr:row>
      <xdr:rowOff>290148</xdr:rowOff>
    </xdr:from>
    <xdr:to>
      <xdr:col>29</xdr:col>
      <xdr:colOff>53902</xdr:colOff>
      <xdr:row>5</xdr:row>
      <xdr:rowOff>287497</xdr:rowOff>
    </xdr:to>
    <xdr:cxnSp macro="">
      <xdr:nvCxnSpPr>
        <xdr:cNvPr id="58" name="AutoShape 118"/>
        <xdr:cNvCxnSpPr>
          <a:cxnSpLocks noChangeShapeType="1"/>
        </xdr:cNvCxnSpPr>
      </xdr:nvCxnSpPr>
      <xdr:spPr bwMode="auto">
        <a:xfrm flipV="1">
          <a:off x="3435099" y="2414956"/>
          <a:ext cx="9924495" cy="319733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2</xdr:col>
      <xdr:colOff>18116</xdr:colOff>
      <xdr:row>17</xdr:row>
      <xdr:rowOff>307730</xdr:rowOff>
    </xdr:from>
    <xdr:to>
      <xdr:col>29</xdr:col>
      <xdr:colOff>14654</xdr:colOff>
      <xdr:row>20</xdr:row>
      <xdr:rowOff>310941</xdr:rowOff>
    </xdr:to>
    <xdr:cxnSp macro="">
      <xdr:nvCxnSpPr>
        <xdr:cNvPr id="60" name="AutoShape 118"/>
        <xdr:cNvCxnSpPr>
          <a:cxnSpLocks noChangeShapeType="1"/>
        </xdr:cNvCxnSpPr>
      </xdr:nvCxnSpPr>
      <xdr:spPr bwMode="auto">
        <a:xfrm flipV="1">
          <a:off x="3388501" y="6623538"/>
          <a:ext cx="9931845" cy="970365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2</xdr:col>
      <xdr:colOff>32769</xdr:colOff>
      <xdr:row>13</xdr:row>
      <xdr:rowOff>307731</xdr:rowOff>
    </xdr:from>
    <xdr:to>
      <xdr:col>29</xdr:col>
      <xdr:colOff>21957</xdr:colOff>
      <xdr:row>14</xdr:row>
      <xdr:rowOff>305079</xdr:rowOff>
    </xdr:to>
    <xdr:cxnSp macro="">
      <xdr:nvCxnSpPr>
        <xdr:cNvPr id="62" name="AutoShape 118"/>
        <xdr:cNvCxnSpPr>
          <a:cxnSpLocks noChangeShapeType="1"/>
        </xdr:cNvCxnSpPr>
      </xdr:nvCxnSpPr>
      <xdr:spPr bwMode="auto">
        <a:xfrm flipV="1">
          <a:off x="3403154" y="5334000"/>
          <a:ext cx="9924495" cy="319733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31</xdr:col>
      <xdr:colOff>38617</xdr:colOff>
      <xdr:row>19</xdr:row>
      <xdr:rowOff>360</xdr:rowOff>
    </xdr:from>
    <xdr:to>
      <xdr:col>32</xdr:col>
      <xdr:colOff>0</xdr:colOff>
      <xdr:row>20</xdr:row>
      <xdr:rowOff>308920</xdr:rowOff>
    </xdr:to>
    <xdr:cxnSp macro="">
      <xdr:nvCxnSpPr>
        <xdr:cNvPr id="50" name="AutoShape 27"/>
        <xdr:cNvCxnSpPr>
          <a:cxnSpLocks noChangeShapeType="1"/>
        </xdr:cNvCxnSpPr>
      </xdr:nvCxnSpPr>
      <xdr:spPr bwMode="auto">
        <a:xfrm rot="5400000" flipH="1" flipV="1">
          <a:off x="13449144" y="6328564"/>
          <a:ext cx="630944" cy="606152"/>
        </a:xfrm>
        <a:prstGeom prst="straightConnector1">
          <a:avLst/>
        </a:prstGeom>
        <a:noFill/>
        <a:ln w="9525">
          <a:solidFill>
            <a:srgbClr val="0070C0"/>
          </a:solidFill>
          <a:round/>
          <a:headEnd/>
          <a:tailEnd/>
        </a:ln>
      </xdr:spPr>
    </xdr:cxnSp>
    <xdr:clientData/>
  </xdr:twoCellAnchor>
  <xdr:twoCellAnchor>
    <xdr:from>
      <xdr:col>31</xdr:col>
      <xdr:colOff>25744</xdr:colOff>
      <xdr:row>19</xdr:row>
      <xdr:rowOff>25743</xdr:rowOff>
    </xdr:from>
    <xdr:to>
      <xdr:col>32</xdr:col>
      <xdr:colOff>25746</xdr:colOff>
      <xdr:row>21</xdr:row>
      <xdr:rowOff>0</xdr:rowOff>
    </xdr:to>
    <xdr:cxnSp macro="">
      <xdr:nvCxnSpPr>
        <xdr:cNvPr id="51" name="AutoShape 27"/>
        <xdr:cNvCxnSpPr>
          <a:cxnSpLocks noChangeShapeType="1"/>
        </xdr:cNvCxnSpPr>
      </xdr:nvCxnSpPr>
      <xdr:spPr bwMode="auto">
        <a:xfrm flipH="1" flipV="1">
          <a:off x="13448667" y="6341551"/>
          <a:ext cx="644771" cy="619026"/>
        </a:xfrm>
        <a:prstGeom prst="straightConnector1">
          <a:avLst/>
        </a:prstGeom>
        <a:noFill/>
        <a:ln w="9525">
          <a:solidFill>
            <a:srgbClr val="0070C0"/>
          </a:solidFill>
          <a:round/>
          <a:headEnd/>
          <a:tailEnd/>
        </a:ln>
      </xdr:spPr>
    </xdr:cxnSp>
    <xdr:clientData/>
  </xdr:twoCellAnchor>
  <xdr:twoCellAnchor>
    <xdr:from>
      <xdr:col>10</xdr:col>
      <xdr:colOff>1</xdr:colOff>
      <xdr:row>27</xdr:row>
      <xdr:rowOff>0</xdr:rowOff>
    </xdr:from>
    <xdr:to>
      <xdr:col>13</xdr:col>
      <xdr:colOff>14654</xdr:colOff>
      <xdr:row>28</xdr:row>
      <xdr:rowOff>307731</xdr:rowOff>
    </xdr:to>
    <xdr:cxnSp macro="">
      <xdr:nvCxnSpPr>
        <xdr:cNvPr id="56" name="AutoShape 27"/>
        <xdr:cNvCxnSpPr>
          <a:cxnSpLocks noChangeShapeType="1"/>
        </xdr:cNvCxnSpPr>
      </xdr:nvCxnSpPr>
      <xdr:spPr bwMode="auto">
        <a:xfrm flipH="1" flipV="1">
          <a:off x="6257193" y="9539654"/>
          <a:ext cx="1392115" cy="630115"/>
        </a:xfrm>
        <a:prstGeom prst="straightConnector1">
          <a:avLst/>
        </a:prstGeom>
        <a:noFill/>
        <a:ln w="9525">
          <a:solidFill>
            <a:srgbClr val="0070C0"/>
          </a:solidFill>
          <a:round/>
          <a:headEnd/>
          <a:tailEnd/>
        </a:ln>
      </xdr:spPr>
    </xdr:cxnSp>
    <xdr:clientData/>
  </xdr:twoCellAnchor>
  <xdr:twoCellAnchor>
    <xdr:from>
      <xdr:col>9</xdr:col>
      <xdr:colOff>43964</xdr:colOff>
      <xdr:row>26</xdr:row>
      <xdr:rowOff>308092</xdr:rowOff>
    </xdr:from>
    <xdr:to>
      <xdr:col>13</xdr:col>
      <xdr:colOff>14653</xdr:colOff>
      <xdr:row>29</xdr:row>
      <xdr:rowOff>0</xdr:rowOff>
    </xdr:to>
    <xdr:cxnSp macro="">
      <xdr:nvCxnSpPr>
        <xdr:cNvPr id="59" name="AutoShape 27"/>
        <xdr:cNvCxnSpPr>
          <a:cxnSpLocks noChangeShapeType="1"/>
        </xdr:cNvCxnSpPr>
      </xdr:nvCxnSpPr>
      <xdr:spPr bwMode="auto">
        <a:xfrm flipV="1">
          <a:off x="6242541" y="9525361"/>
          <a:ext cx="1406766" cy="659062"/>
        </a:xfrm>
        <a:prstGeom prst="straightConnector1">
          <a:avLst/>
        </a:prstGeom>
        <a:noFill/>
        <a:ln w="9525">
          <a:solidFill>
            <a:srgbClr val="0070C0"/>
          </a:solidFill>
          <a:round/>
          <a:headEnd/>
          <a:tailEnd/>
        </a:ln>
      </xdr:spPr>
    </xdr:cxnSp>
    <xdr:clientData/>
  </xdr:twoCellAnchor>
  <xdr:twoCellAnchor>
    <xdr:from>
      <xdr:col>31</xdr:col>
      <xdr:colOff>25744</xdr:colOff>
      <xdr:row>21</xdr:row>
      <xdr:rowOff>25743</xdr:rowOff>
    </xdr:from>
    <xdr:to>
      <xdr:col>32</xdr:col>
      <xdr:colOff>25746</xdr:colOff>
      <xdr:row>23</xdr:row>
      <xdr:rowOff>0</xdr:rowOff>
    </xdr:to>
    <xdr:cxnSp macro="">
      <xdr:nvCxnSpPr>
        <xdr:cNvPr id="63" name="AutoShape 27"/>
        <xdr:cNvCxnSpPr>
          <a:cxnSpLocks noChangeShapeType="1"/>
        </xdr:cNvCxnSpPr>
      </xdr:nvCxnSpPr>
      <xdr:spPr bwMode="auto">
        <a:xfrm flipH="1" flipV="1">
          <a:off x="13448667" y="6986320"/>
          <a:ext cx="644771" cy="619026"/>
        </a:xfrm>
        <a:prstGeom prst="straightConnector1">
          <a:avLst/>
        </a:prstGeom>
        <a:noFill/>
        <a:ln w="9525">
          <a:solidFill>
            <a:srgbClr val="0070C0"/>
          </a:solidFill>
          <a:round/>
          <a:headEnd/>
          <a:tailEnd/>
        </a:ln>
      </xdr:spPr>
    </xdr:cxnSp>
    <xdr:clientData/>
  </xdr:twoCellAnchor>
  <xdr:twoCellAnchor>
    <xdr:from>
      <xdr:col>2</xdr:col>
      <xdr:colOff>31606</xdr:colOff>
      <xdr:row>23</xdr:row>
      <xdr:rowOff>31605</xdr:rowOff>
    </xdr:from>
    <xdr:to>
      <xdr:col>29</xdr:col>
      <xdr:colOff>0</xdr:colOff>
      <xdr:row>26</xdr:row>
      <xdr:rowOff>307731</xdr:rowOff>
    </xdr:to>
    <xdr:cxnSp macro="">
      <xdr:nvCxnSpPr>
        <xdr:cNvPr id="64" name="AutoShape 27"/>
        <xdr:cNvCxnSpPr>
          <a:cxnSpLocks noChangeShapeType="1"/>
        </xdr:cNvCxnSpPr>
      </xdr:nvCxnSpPr>
      <xdr:spPr bwMode="auto">
        <a:xfrm flipH="1" flipV="1">
          <a:off x="3401991" y="8281720"/>
          <a:ext cx="9903701" cy="1243280"/>
        </a:xfrm>
        <a:prstGeom prst="straightConnector1">
          <a:avLst/>
        </a:prstGeom>
        <a:noFill/>
        <a:ln w="9525">
          <a:solidFill>
            <a:srgbClr val="0070C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628" name="Rectangle 2"/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cxnSp macro="">
      <xdr:nvCxnSpPr>
        <xdr:cNvPr id="3629" name="AutoShape 8"/>
        <xdr:cNvCxnSpPr>
          <a:cxnSpLocks noChangeShapeType="1"/>
        </xdr:cNvCxnSpPr>
      </xdr:nvCxnSpPr>
      <xdr:spPr bwMode="auto">
        <a:xfrm flipV="1">
          <a:off x="8248650" y="2800350"/>
          <a:ext cx="0" cy="0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cxnSp macro="">
      <xdr:nvCxnSpPr>
        <xdr:cNvPr id="3630" name="AutoShape 9"/>
        <xdr:cNvCxnSpPr>
          <a:cxnSpLocks noChangeShapeType="1"/>
        </xdr:cNvCxnSpPr>
      </xdr:nvCxnSpPr>
      <xdr:spPr bwMode="auto">
        <a:xfrm flipV="1">
          <a:off x="8248650" y="2800350"/>
          <a:ext cx="0" cy="0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cxnSp macro="">
      <xdr:nvCxnSpPr>
        <xdr:cNvPr id="3631" name="AutoShape 10"/>
        <xdr:cNvCxnSpPr>
          <a:cxnSpLocks noChangeShapeType="1"/>
        </xdr:cNvCxnSpPr>
      </xdr:nvCxnSpPr>
      <xdr:spPr bwMode="auto">
        <a:xfrm flipV="1">
          <a:off x="8248650" y="2800350"/>
          <a:ext cx="0" cy="0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cxnSp macro="">
      <xdr:nvCxnSpPr>
        <xdr:cNvPr id="3632" name="AutoShape 11"/>
        <xdr:cNvCxnSpPr>
          <a:cxnSpLocks noChangeShapeType="1"/>
        </xdr:cNvCxnSpPr>
      </xdr:nvCxnSpPr>
      <xdr:spPr bwMode="auto">
        <a:xfrm flipV="1">
          <a:off x="8248650" y="2800350"/>
          <a:ext cx="0" cy="0"/>
        </a:xfrm>
        <a:prstGeom prst="straightConnector1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cxn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cxnSp macro="">
      <xdr:nvCxnSpPr>
        <xdr:cNvPr id="3633" name="AutoShape 21"/>
        <xdr:cNvCxnSpPr>
          <a:cxnSpLocks noChangeShapeType="1"/>
        </xdr:cNvCxnSpPr>
      </xdr:nvCxnSpPr>
      <xdr:spPr bwMode="auto">
        <a:xfrm flipH="1" flipV="1">
          <a:off x="8248650" y="2800350"/>
          <a:ext cx="0" cy="0"/>
        </a:xfrm>
        <a:prstGeom prst="straightConnector1">
          <a:avLst/>
        </a:prstGeom>
        <a:noFill/>
        <a:ln w="9525">
          <a:solidFill>
            <a:srgbClr val="800080"/>
          </a:solidFill>
          <a:round/>
          <a:headEnd/>
          <a:tailEnd/>
        </a:ln>
      </xdr:spPr>
    </xdr:cxn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cxnSp macro="">
      <xdr:nvCxnSpPr>
        <xdr:cNvPr id="3634" name="AutoShape 22"/>
        <xdr:cNvCxnSpPr>
          <a:cxnSpLocks noChangeShapeType="1"/>
        </xdr:cNvCxnSpPr>
      </xdr:nvCxnSpPr>
      <xdr:spPr bwMode="auto">
        <a:xfrm flipH="1" flipV="1">
          <a:off x="8248650" y="2800350"/>
          <a:ext cx="0" cy="0"/>
        </a:xfrm>
        <a:prstGeom prst="straightConnector1">
          <a:avLst/>
        </a:prstGeom>
        <a:noFill/>
        <a:ln w="9525">
          <a:solidFill>
            <a:srgbClr val="800080"/>
          </a:solidFill>
          <a:round/>
          <a:headEnd/>
          <a:tailEnd/>
        </a:ln>
      </xdr:spPr>
    </xdr:cxn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cxnSp macro="">
      <xdr:nvCxnSpPr>
        <xdr:cNvPr id="3635" name="AutoShape 23"/>
        <xdr:cNvCxnSpPr>
          <a:cxnSpLocks noChangeShapeType="1"/>
        </xdr:cNvCxnSpPr>
      </xdr:nvCxnSpPr>
      <xdr:spPr bwMode="auto">
        <a:xfrm flipH="1" flipV="1">
          <a:off x="8248650" y="2800350"/>
          <a:ext cx="0" cy="0"/>
        </a:xfrm>
        <a:prstGeom prst="straightConnector1">
          <a:avLst/>
        </a:prstGeom>
        <a:noFill/>
        <a:ln w="9525">
          <a:solidFill>
            <a:srgbClr val="80008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EC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EC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"/>
  <sheetViews>
    <sheetView tabSelected="1" topLeftCell="A2" zoomScale="65" zoomScaleNormal="65" workbookViewId="0">
      <selection activeCell="AN23" sqref="AN23"/>
    </sheetView>
  </sheetViews>
  <sheetFormatPr defaultRowHeight="11.25"/>
  <cols>
    <col min="1" max="1" width="49.5703125" style="6" customWidth="1"/>
    <col min="2" max="2" width="0.85546875" style="5" customWidth="1"/>
    <col min="3" max="3" width="5.42578125" style="12" customWidth="1"/>
    <col min="4" max="4" width="4.85546875" style="12" customWidth="1"/>
    <col min="5" max="5" width="10.140625" style="12" customWidth="1"/>
    <col min="6" max="6" width="0.85546875" style="8" customWidth="1"/>
    <col min="7" max="8" width="5.42578125" style="12" customWidth="1"/>
    <col min="9" max="9" width="10.140625" style="12" customWidth="1"/>
    <col min="10" max="10" width="0.85546875" style="8" customWidth="1"/>
    <col min="11" max="11" width="5.42578125" style="2" customWidth="1"/>
    <col min="12" max="12" width="5" style="2" customWidth="1"/>
    <col min="13" max="13" width="10.140625" style="1" customWidth="1"/>
    <col min="14" max="14" width="0.85546875" style="2" customWidth="1"/>
    <col min="15" max="15" width="5.28515625" style="2" customWidth="1"/>
    <col min="16" max="16" width="4.85546875" style="2" customWidth="1"/>
    <col min="17" max="17" width="10.140625" style="1" customWidth="1"/>
    <col min="18" max="18" width="0.85546875" style="2" customWidth="1"/>
    <col min="19" max="19" width="5.42578125" style="2" customWidth="1"/>
    <col min="20" max="20" width="5.5703125" style="2" customWidth="1"/>
    <col min="21" max="21" width="10.140625" style="1" customWidth="1"/>
    <col min="22" max="22" width="0.85546875" style="2" customWidth="1"/>
    <col min="23" max="23" width="5.28515625" style="1" customWidth="1"/>
    <col min="24" max="24" width="5" style="1" customWidth="1"/>
    <col min="25" max="25" width="10.140625" style="2" customWidth="1"/>
    <col min="26" max="26" width="0.85546875" style="1" customWidth="1"/>
    <col min="27" max="27" width="4.85546875" style="15" customWidth="1"/>
    <col min="28" max="28" width="4.85546875" style="6" customWidth="1"/>
    <col min="29" max="29" width="10.140625" style="6" customWidth="1"/>
    <col min="30" max="30" width="0.85546875" style="1" customWidth="1"/>
    <col min="31" max="31" width="0.85546875" style="6" customWidth="1"/>
    <col min="32" max="32" width="9.7109375" style="6" customWidth="1"/>
    <col min="33" max="33" width="13.42578125" style="6" customWidth="1"/>
    <col min="34" max="36" width="15.28515625" style="6" customWidth="1"/>
    <col min="37" max="37" width="10.5703125" style="6" customWidth="1"/>
    <col min="38" max="16384" width="9.140625" style="6"/>
  </cols>
  <sheetData>
    <row r="1" spans="1:37" ht="20.25" customHeight="1">
      <c r="A1" s="274" t="s">
        <v>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6"/>
      <c r="AD1" s="5"/>
      <c r="AE1" s="1"/>
      <c r="AF1" s="252" t="s">
        <v>29</v>
      </c>
      <c r="AG1" s="253"/>
      <c r="AH1" s="253"/>
      <c r="AI1" s="253"/>
      <c r="AJ1" s="253"/>
      <c r="AK1" s="253"/>
    </row>
    <row r="2" spans="1:37" s="12" customFormat="1" ht="81" customHeight="1">
      <c r="A2" s="279" t="s">
        <v>40</v>
      </c>
      <c r="B2" s="279"/>
      <c r="C2" s="280"/>
      <c r="D2" s="280"/>
      <c r="E2" s="24"/>
      <c r="F2" s="2"/>
      <c r="G2" s="281" t="s">
        <v>6</v>
      </c>
      <c r="H2" s="282"/>
      <c r="I2" s="25"/>
      <c r="J2" s="2"/>
      <c r="K2" s="281" t="s">
        <v>6</v>
      </c>
      <c r="L2" s="283"/>
      <c r="M2" s="23"/>
      <c r="N2" s="2"/>
      <c r="O2" s="279" t="s">
        <v>7</v>
      </c>
      <c r="P2" s="280"/>
      <c r="Q2" s="24"/>
      <c r="R2" s="10"/>
      <c r="S2" s="277" t="s">
        <v>7</v>
      </c>
      <c r="T2" s="278"/>
      <c r="U2" s="22"/>
      <c r="V2" s="10"/>
      <c r="W2" s="277" t="s">
        <v>7</v>
      </c>
      <c r="X2" s="278"/>
      <c r="Y2" s="22"/>
      <c r="Z2" s="3"/>
      <c r="AA2" s="279" t="s">
        <v>8</v>
      </c>
      <c r="AB2" s="279"/>
      <c r="AC2" s="29"/>
      <c r="AD2" s="3"/>
      <c r="AE2" s="3"/>
      <c r="AF2" s="133" t="s">
        <v>22</v>
      </c>
      <c r="AG2" s="134" t="s">
        <v>23</v>
      </c>
      <c r="AH2" s="193" t="s">
        <v>24</v>
      </c>
      <c r="AI2" s="135" t="s">
        <v>30</v>
      </c>
      <c r="AJ2" s="136" t="s">
        <v>31</v>
      </c>
      <c r="AK2" s="137" t="s">
        <v>25</v>
      </c>
    </row>
    <row r="3" spans="1:37" ht="40.5" customHeight="1" thickBot="1">
      <c r="A3" s="119" t="s">
        <v>45</v>
      </c>
      <c r="B3" s="30"/>
      <c r="C3" s="120" t="s">
        <v>4</v>
      </c>
      <c r="D3" s="7" t="s">
        <v>2</v>
      </c>
      <c r="E3" s="7" t="s">
        <v>3</v>
      </c>
      <c r="F3" s="4"/>
      <c r="G3" s="7" t="s">
        <v>4</v>
      </c>
      <c r="H3" s="7" t="s">
        <v>2</v>
      </c>
      <c r="I3" s="7" t="s">
        <v>3</v>
      </c>
      <c r="J3" s="20"/>
      <c r="K3" s="121" t="s">
        <v>4</v>
      </c>
      <c r="L3" s="122" t="s">
        <v>2</v>
      </c>
      <c r="M3" s="123" t="s">
        <v>3</v>
      </c>
      <c r="N3" s="4"/>
      <c r="O3" s="7" t="s">
        <v>4</v>
      </c>
      <c r="P3" s="7" t="s">
        <v>2</v>
      </c>
      <c r="Q3" s="124" t="s">
        <v>3</v>
      </c>
      <c r="R3" s="31"/>
      <c r="S3" s="21" t="s">
        <v>4</v>
      </c>
      <c r="T3" s="123" t="s">
        <v>2</v>
      </c>
      <c r="U3" s="123" t="s">
        <v>3</v>
      </c>
      <c r="V3" s="4"/>
      <c r="W3" s="122" t="s">
        <v>4</v>
      </c>
      <c r="X3" s="21" t="s">
        <v>2</v>
      </c>
      <c r="Y3" s="123" t="s">
        <v>3</v>
      </c>
      <c r="Z3" s="4"/>
      <c r="AA3" s="14" t="s">
        <v>4</v>
      </c>
      <c r="AB3" s="7" t="s">
        <v>2</v>
      </c>
      <c r="AC3" s="7" t="s">
        <v>3</v>
      </c>
      <c r="AD3" s="4"/>
      <c r="AE3" s="4"/>
      <c r="AG3" s="158"/>
    </row>
    <row r="4" spans="1:37" ht="26.1" customHeight="1">
      <c r="A4" s="125" t="s">
        <v>15</v>
      </c>
      <c r="B4" s="61"/>
      <c r="C4" s="126"/>
      <c r="D4" s="127"/>
      <c r="E4" s="128"/>
      <c r="F4" s="93"/>
      <c r="G4" s="126"/>
      <c r="H4" s="127"/>
      <c r="I4" s="128"/>
      <c r="J4" s="93"/>
      <c r="K4" s="126"/>
      <c r="L4" s="127"/>
      <c r="M4" s="128"/>
      <c r="N4" s="93"/>
      <c r="O4" s="126"/>
      <c r="P4" s="127"/>
      <c r="Q4" s="165"/>
      <c r="R4" s="129"/>
      <c r="S4" s="126"/>
      <c r="T4" s="127"/>
      <c r="U4" s="128"/>
      <c r="V4" s="93"/>
      <c r="W4" s="126"/>
      <c r="X4" s="127"/>
      <c r="Y4" s="128"/>
      <c r="Z4" s="93"/>
      <c r="AA4" s="63">
        <v>0.71</v>
      </c>
      <c r="AB4" s="63">
        <v>0.38</v>
      </c>
      <c r="AC4" s="166" t="s">
        <v>16</v>
      </c>
      <c r="AD4" s="4"/>
      <c r="AE4" s="4"/>
      <c r="AF4" s="268" t="s">
        <v>66</v>
      </c>
      <c r="AG4" s="269"/>
      <c r="AH4" s="269"/>
      <c r="AI4" s="269"/>
      <c r="AJ4" s="269"/>
      <c r="AK4" s="269"/>
    </row>
    <row r="5" spans="1:37" ht="26.1" customHeight="1">
      <c r="A5" s="90" t="s">
        <v>53</v>
      </c>
      <c r="B5" s="11"/>
      <c r="C5" s="41">
        <v>1.35</v>
      </c>
      <c r="D5" s="46">
        <f>0.5*0.49</f>
        <v>0.245</v>
      </c>
      <c r="E5" s="138">
        <v>-74</v>
      </c>
      <c r="F5" s="3"/>
      <c r="G5" s="41">
        <v>1.06</v>
      </c>
      <c r="H5" s="46">
        <f>0.5*0.54</f>
        <v>0.27</v>
      </c>
      <c r="I5" s="138">
        <v>-43</v>
      </c>
      <c r="J5" s="3"/>
      <c r="K5" s="41">
        <v>1</v>
      </c>
      <c r="L5" s="46">
        <f>0.5*0.55</f>
        <v>0.27500000000000002</v>
      </c>
      <c r="M5" s="138">
        <v>-36</v>
      </c>
      <c r="N5" s="3"/>
      <c r="O5" s="41">
        <v>1.3</v>
      </c>
      <c r="P5" s="46">
        <f>0.5*0.53</f>
        <v>0.26500000000000001</v>
      </c>
      <c r="Q5" s="149">
        <v>-65</v>
      </c>
      <c r="R5" s="9"/>
      <c r="S5" s="41">
        <v>1.1200000000000001</v>
      </c>
      <c r="T5" s="46">
        <f>0.5*0.56</f>
        <v>0.28000000000000003</v>
      </c>
      <c r="U5" s="138">
        <v>-45</v>
      </c>
      <c r="V5" s="9"/>
      <c r="W5" s="41">
        <v>0.95</v>
      </c>
      <c r="X5" s="46">
        <f>0.5*0.59</f>
        <v>0.29499999999999998</v>
      </c>
      <c r="Y5" s="138">
        <v>-27</v>
      </c>
      <c r="Z5" s="3"/>
      <c r="AA5" s="41">
        <v>0.79</v>
      </c>
      <c r="AB5" s="40">
        <f>0.52*0.74</f>
        <v>0.38480000000000003</v>
      </c>
      <c r="AC5" s="167">
        <v>1</v>
      </c>
      <c r="AD5" s="3"/>
      <c r="AE5" s="3"/>
      <c r="AF5" s="269"/>
      <c r="AG5" s="269"/>
      <c r="AH5" s="269"/>
      <c r="AI5" s="269"/>
      <c r="AJ5" s="269"/>
      <c r="AK5" s="269"/>
    </row>
    <row r="6" spans="1:37" ht="26.1" customHeight="1" thickBot="1">
      <c r="A6" s="87" t="s">
        <v>49</v>
      </c>
      <c r="B6" s="78"/>
      <c r="C6" s="88"/>
      <c r="D6" s="88"/>
      <c r="E6" s="168" t="s">
        <v>21</v>
      </c>
      <c r="F6" s="89"/>
      <c r="G6" s="168"/>
      <c r="H6" s="168"/>
      <c r="I6" s="168" t="s">
        <v>21</v>
      </c>
      <c r="J6" s="89"/>
      <c r="K6" s="99">
        <v>1.42</v>
      </c>
      <c r="L6" s="99">
        <f>0.5*0.56</f>
        <v>0.28000000000000003</v>
      </c>
      <c r="M6" s="155">
        <f>196.4*L6-90.36*K6</f>
        <v>-73.319199999999981</v>
      </c>
      <c r="N6" s="89"/>
      <c r="O6" s="168"/>
      <c r="P6" s="168"/>
      <c r="Q6" s="168" t="s">
        <v>21</v>
      </c>
      <c r="R6" s="66"/>
      <c r="S6" s="168"/>
      <c r="T6" s="168"/>
      <c r="U6" s="168" t="s">
        <v>21</v>
      </c>
      <c r="V6" s="66"/>
      <c r="W6" s="88">
        <v>1.33</v>
      </c>
      <c r="X6" s="88">
        <f>0.5*0.62</f>
        <v>0.31</v>
      </c>
      <c r="Y6" s="169">
        <f>196.4*X6-90.36*W6</f>
        <v>-59.294800000000009</v>
      </c>
      <c r="Z6" s="66"/>
      <c r="AA6" s="88">
        <v>0.82</v>
      </c>
      <c r="AB6" s="88">
        <f>0.52*0.75</f>
        <v>0.39</v>
      </c>
      <c r="AC6" s="170">
        <f>196.4*AB6-90.36*AA6</f>
        <v>2.5008000000000123</v>
      </c>
      <c r="AD6" s="3"/>
      <c r="AE6" s="3"/>
      <c r="AF6" s="270" t="s">
        <v>67</v>
      </c>
      <c r="AG6" s="271"/>
      <c r="AH6" s="271"/>
      <c r="AI6" s="271"/>
      <c r="AJ6" s="271"/>
      <c r="AK6" s="271"/>
    </row>
    <row r="7" spans="1:37" ht="26.1" customHeight="1">
      <c r="A7" s="85" t="s">
        <v>46</v>
      </c>
      <c r="B7" s="86"/>
      <c r="C7" s="173">
        <v>1.38</v>
      </c>
      <c r="D7" s="63">
        <v>0.3</v>
      </c>
      <c r="E7" s="174">
        <v>-64.7</v>
      </c>
      <c r="F7" s="64"/>
      <c r="G7" s="63">
        <v>1.38</v>
      </c>
      <c r="H7" s="63">
        <v>0.34</v>
      </c>
      <c r="I7" s="174">
        <v>-58.4</v>
      </c>
      <c r="J7" s="187"/>
      <c r="K7" s="63">
        <v>1.38</v>
      </c>
      <c r="L7" s="63">
        <v>0.34</v>
      </c>
      <c r="M7" s="175">
        <v>-57</v>
      </c>
      <c r="N7" s="176"/>
      <c r="O7" s="63">
        <v>1.35</v>
      </c>
      <c r="P7" s="63">
        <v>0.32</v>
      </c>
      <c r="Q7" s="175">
        <v>-59.4</v>
      </c>
      <c r="R7" s="177"/>
      <c r="S7" s="63">
        <v>1.35</v>
      </c>
      <c r="T7" s="63">
        <v>0.35</v>
      </c>
      <c r="U7" s="175">
        <v>-53.8</v>
      </c>
      <c r="V7" s="177"/>
      <c r="W7" s="63">
        <v>1.35</v>
      </c>
      <c r="X7" s="63">
        <v>0.37</v>
      </c>
      <c r="Y7" s="175">
        <v>-50.2</v>
      </c>
      <c r="Z7" s="176"/>
      <c r="AA7" s="63"/>
      <c r="AB7" s="62"/>
      <c r="AC7" s="178">
        <v>3</v>
      </c>
      <c r="AD7" s="4"/>
      <c r="AE7" s="16"/>
      <c r="AF7" s="271"/>
      <c r="AG7" s="271"/>
      <c r="AH7" s="271"/>
      <c r="AI7" s="271"/>
      <c r="AJ7" s="271"/>
      <c r="AK7" s="271"/>
    </row>
    <row r="8" spans="1:37" ht="26.1" customHeight="1">
      <c r="A8" s="65" t="s">
        <v>43</v>
      </c>
      <c r="B8" s="180"/>
      <c r="C8" s="42">
        <v>0.94</v>
      </c>
      <c r="D8" s="42">
        <v>0.3</v>
      </c>
      <c r="E8" s="159">
        <v>-25.6</v>
      </c>
      <c r="F8" s="3"/>
      <c r="G8" s="42">
        <v>0.94</v>
      </c>
      <c r="H8" s="42">
        <v>0.33</v>
      </c>
      <c r="I8" s="159">
        <v>-20.5</v>
      </c>
      <c r="J8" s="3"/>
      <c r="K8" s="42">
        <v>0.94</v>
      </c>
      <c r="L8" s="42">
        <v>0.34</v>
      </c>
      <c r="M8" s="159">
        <f>196.4*L8-90.36*K8</f>
        <v>-18.162399999999991</v>
      </c>
      <c r="N8" s="147"/>
      <c r="O8" s="42">
        <v>0.97</v>
      </c>
      <c r="P8" s="42">
        <v>0.32</v>
      </c>
      <c r="Q8" s="159">
        <v>-25.3</v>
      </c>
      <c r="R8" s="148"/>
      <c r="S8" s="42">
        <v>0.97</v>
      </c>
      <c r="T8" s="42">
        <v>0.34</v>
      </c>
      <c r="U8" s="159">
        <v>-20.7</v>
      </c>
      <c r="V8" s="148"/>
      <c r="W8" s="42">
        <v>0.97</v>
      </c>
      <c r="X8" s="42">
        <v>0.36</v>
      </c>
      <c r="Y8" s="159">
        <v>-17.8</v>
      </c>
      <c r="Z8" s="147"/>
      <c r="AA8" s="42">
        <v>1.03</v>
      </c>
      <c r="AB8" s="42">
        <v>0.42</v>
      </c>
      <c r="AC8" s="159">
        <v>-9.8000000000000007</v>
      </c>
      <c r="AD8" s="3"/>
      <c r="AE8" s="3"/>
      <c r="AF8" s="272" t="s">
        <v>32</v>
      </c>
      <c r="AG8" s="273"/>
      <c r="AH8" s="273"/>
      <c r="AI8" s="273"/>
      <c r="AJ8" s="273"/>
      <c r="AK8" s="273"/>
    </row>
    <row r="9" spans="1:37" ht="26.1" customHeight="1">
      <c r="A9" s="162" t="s">
        <v>36</v>
      </c>
      <c r="B9" s="181"/>
      <c r="C9" s="140">
        <v>1.42</v>
      </c>
      <c r="D9" s="42">
        <v>0.28999999999999998</v>
      </c>
      <c r="E9" s="79">
        <v>-70.7</v>
      </c>
      <c r="F9" s="3"/>
      <c r="G9" s="140">
        <v>1.42</v>
      </c>
      <c r="H9" s="42">
        <v>0.32</v>
      </c>
      <c r="I9" s="79">
        <v>-65.599999999999994</v>
      </c>
      <c r="J9" s="3"/>
      <c r="K9" s="140">
        <v>1.42</v>
      </c>
      <c r="L9" s="42">
        <v>0.33</v>
      </c>
      <c r="M9" s="139">
        <f>196.4*L9-90.36*K9</f>
        <v>-63.499199999999973</v>
      </c>
      <c r="N9" s="3"/>
      <c r="O9" s="42">
        <v>1.37</v>
      </c>
      <c r="P9" s="42">
        <v>0.31</v>
      </c>
      <c r="Q9" s="79">
        <v>-63.5</v>
      </c>
      <c r="R9" s="160"/>
      <c r="S9" s="42">
        <v>1.37</v>
      </c>
      <c r="T9" s="42">
        <v>0.33</v>
      </c>
      <c r="U9" s="79">
        <v>-59</v>
      </c>
      <c r="V9" s="160"/>
      <c r="W9" s="42">
        <v>1.37</v>
      </c>
      <c r="X9" s="42">
        <v>0.34</v>
      </c>
      <c r="Y9" s="79">
        <v>-56.2</v>
      </c>
      <c r="Z9" s="160"/>
      <c r="AA9" s="42">
        <v>1.25</v>
      </c>
      <c r="AB9" s="42">
        <v>0.42</v>
      </c>
      <c r="AC9" s="79">
        <v>-31</v>
      </c>
      <c r="AD9" s="3"/>
      <c r="AE9" s="3"/>
      <c r="AF9" s="273"/>
      <c r="AG9" s="273"/>
      <c r="AH9" s="273"/>
      <c r="AI9" s="273"/>
      <c r="AJ9" s="273"/>
      <c r="AK9" s="273"/>
    </row>
    <row r="10" spans="1:37" ht="26.1" customHeight="1">
      <c r="A10" s="161" t="s">
        <v>37</v>
      </c>
      <c r="B10" s="11"/>
      <c r="C10" s="140">
        <v>1.66</v>
      </c>
      <c r="D10" s="42">
        <v>0.42</v>
      </c>
      <c r="E10" s="139">
        <v>-67.2</v>
      </c>
      <c r="F10" s="3"/>
      <c r="G10" s="140">
        <v>1.66</v>
      </c>
      <c r="H10" s="42">
        <v>0.46</v>
      </c>
      <c r="I10" s="139">
        <v>-60.1</v>
      </c>
      <c r="J10" s="3"/>
      <c r="K10" s="140">
        <v>1.66</v>
      </c>
      <c r="L10" s="42">
        <v>0.47</v>
      </c>
      <c r="M10" s="139">
        <f>196.4*L10-90.36*K10</f>
        <v>-57.689600000000013</v>
      </c>
      <c r="N10" s="147"/>
      <c r="O10" s="140">
        <v>1.68</v>
      </c>
      <c r="P10" s="42">
        <v>0.44</v>
      </c>
      <c r="Q10" s="139">
        <v>-65.599999999999994</v>
      </c>
      <c r="R10" s="9"/>
      <c r="S10" s="140">
        <v>1.68</v>
      </c>
      <c r="T10" s="42">
        <v>0.47</v>
      </c>
      <c r="U10" s="139">
        <v>-59.3</v>
      </c>
      <c r="V10" s="9"/>
      <c r="W10" s="140">
        <v>1.68</v>
      </c>
      <c r="X10" s="42">
        <v>0.49</v>
      </c>
      <c r="Y10" s="139">
        <v>-55.4</v>
      </c>
      <c r="Z10" s="3"/>
      <c r="AA10" s="140">
        <v>1.77</v>
      </c>
      <c r="AB10" s="42">
        <v>0.57999999999999996</v>
      </c>
      <c r="AC10" s="139">
        <v>-45.6</v>
      </c>
      <c r="AD10" s="3"/>
      <c r="AE10" s="3"/>
      <c r="AF10" s="266" t="s">
        <v>21</v>
      </c>
      <c r="AG10" s="256" t="s">
        <v>26</v>
      </c>
      <c r="AH10" s="256"/>
      <c r="AI10" s="256"/>
      <c r="AJ10" s="256"/>
      <c r="AK10" s="256"/>
    </row>
    <row r="11" spans="1:37" ht="26.1" customHeight="1">
      <c r="A11" s="65" t="s">
        <v>38</v>
      </c>
      <c r="B11" s="11"/>
      <c r="C11" s="140">
        <v>1.64</v>
      </c>
      <c r="D11" s="42">
        <v>0.41</v>
      </c>
      <c r="E11" s="139">
        <v>-67</v>
      </c>
      <c r="F11" s="3"/>
      <c r="G11" s="140">
        <v>1.64</v>
      </c>
      <c r="H11" s="42">
        <v>0.45</v>
      </c>
      <c r="I11" s="139">
        <v>-60.1</v>
      </c>
      <c r="J11" s="3"/>
      <c r="K11" s="140">
        <v>1.64</v>
      </c>
      <c r="L11" s="42">
        <v>0.46</v>
      </c>
      <c r="M11" s="139">
        <f>196.4*L11-90.36*K11</f>
        <v>-57.846399999999974</v>
      </c>
      <c r="N11" s="183"/>
      <c r="O11" s="140">
        <v>1.67</v>
      </c>
      <c r="P11" s="42">
        <v>0.43</v>
      </c>
      <c r="Q11" s="139">
        <v>-65.900000000000006</v>
      </c>
      <c r="R11" s="184"/>
      <c r="S11" s="140">
        <v>1.67</v>
      </c>
      <c r="T11" s="42">
        <v>0.46</v>
      </c>
      <c r="U11" s="139">
        <v>-59.7</v>
      </c>
      <c r="V11" s="184"/>
      <c r="W11" s="140">
        <v>1.67</v>
      </c>
      <c r="X11" s="42">
        <v>0.48</v>
      </c>
      <c r="Y11" s="139">
        <v>-55.8</v>
      </c>
      <c r="Z11" s="183"/>
      <c r="AA11" s="140">
        <v>1.77</v>
      </c>
      <c r="AB11" s="42">
        <v>0.56999999999999995</v>
      </c>
      <c r="AC11" s="139">
        <v>-46.8</v>
      </c>
      <c r="AD11" s="3"/>
      <c r="AE11" s="3"/>
      <c r="AF11" s="267"/>
      <c r="AG11" s="256"/>
      <c r="AH11" s="256"/>
      <c r="AI11" s="256"/>
      <c r="AJ11" s="256"/>
      <c r="AK11" s="256"/>
    </row>
    <row r="12" spans="1:37" ht="26.1" customHeight="1">
      <c r="A12" s="82" t="s">
        <v>39</v>
      </c>
      <c r="B12" s="182"/>
      <c r="C12" s="140">
        <v>1.74</v>
      </c>
      <c r="D12" s="42">
        <v>0.42</v>
      </c>
      <c r="E12" s="139">
        <v>-75.099999999999994</v>
      </c>
      <c r="F12" s="3"/>
      <c r="G12" s="140">
        <v>1.74</v>
      </c>
      <c r="H12" s="42">
        <v>0.46</v>
      </c>
      <c r="I12" s="139">
        <v>-68</v>
      </c>
      <c r="J12" s="3"/>
      <c r="K12" s="140">
        <v>1.74</v>
      </c>
      <c r="L12" s="42">
        <v>0.47</v>
      </c>
      <c r="M12" s="139">
        <f>196.4*L12-90.36*K12</f>
        <v>-64.91840000000002</v>
      </c>
      <c r="N12" s="183"/>
      <c r="O12" s="140">
        <v>1.74</v>
      </c>
      <c r="P12" s="42">
        <v>0.44</v>
      </c>
      <c r="Q12" s="139">
        <v>-70.7</v>
      </c>
      <c r="R12" s="184"/>
      <c r="S12" s="140">
        <v>1.74</v>
      </c>
      <c r="T12" s="42">
        <v>0.47</v>
      </c>
      <c r="U12" s="139">
        <v>-64.400000000000006</v>
      </c>
      <c r="V12" s="184"/>
      <c r="W12" s="140">
        <v>1.74</v>
      </c>
      <c r="X12" s="42">
        <v>0.49</v>
      </c>
      <c r="Y12" s="139">
        <v>-60.5</v>
      </c>
      <c r="Z12" s="183"/>
      <c r="AA12" s="140">
        <v>1.73</v>
      </c>
      <c r="AB12" s="42">
        <v>0.57999999999999996</v>
      </c>
      <c r="AC12" s="139">
        <v>-41.9</v>
      </c>
      <c r="AD12" s="3"/>
      <c r="AE12" s="3"/>
      <c r="AF12" s="266" t="s">
        <v>10</v>
      </c>
      <c r="AG12" s="256" t="s">
        <v>27</v>
      </c>
      <c r="AH12" s="256"/>
      <c r="AI12" s="256"/>
      <c r="AJ12" s="256"/>
      <c r="AK12" s="256"/>
    </row>
    <row r="13" spans="1:37" ht="26.1" customHeight="1" thickBot="1">
      <c r="A13" s="83" t="s">
        <v>47</v>
      </c>
      <c r="B13" s="78"/>
      <c r="C13" s="145">
        <v>1.73</v>
      </c>
      <c r="D13" s="99">
        <v>0.39</v>
      </c>
      <c r="E13" s="185">
        <v>-79.900000000000006</v>
      </c>
      <c r="F13" s="66"/>
      <c r="G13" s="186">
        <v>1.73</v>
      </c>
      <c r="H13" s="99">
        <v>0.43</v>
      </c>
      <c r="I13" s="154">
        <v>-71.900000000000006</v>
      </c>
      <c r="J13" s="92"/>
      <c r="K13" s="186">
        <v>1.73</v>
      </c>
      <c r="L13" s="99">
        <v>0.44</v>
      </c>
      <c r="M13" s="150">
        <v>-70.099999999999994</v>
      </c>
      <c r="N13" s="153"/>
      <c r="O13" s="186">
        <v>1.73</v>
      </c>
      <c r="P13" s="99">
        <v>0.41</v>
      </c>
      <c r="Q13" s="150">
        <v>-76.5</v>
      </c>
      <c r="R13" s="164"/>
      <c r="S13" s="186">
        <v>1.73</v>
      </c>
      <c r="T13" s="99">
        <v>0.44</v>
      </c>
      <c r="U13" s="150">
        <v>-69.5</v>
      </c>
      <c r="V13" s="164"/>
      <c r="W13" s="186">
        <v>1.73</v>
      </c>
      <c r="X13" s="99">
        <v>0.46</v>
      </c>
      <c r="Y13" s="188">
        <v>-64.900000000000006</v>
      </c>
      <c r="Z13" s="153"/>
      <c r="AA13" s="99"/>
      <c r="AB13" s="67"/>
      <c r="AC13" s="179">
        <v>-41</v>
      </c>
      <c r="AD13" s="3"/>
      <c r="AE13" s="3"/>
      <c r="AF13" s="267"/>
      <c r="AG13" s="256"/>
      <c r="AH13" s="256"/>
      <c r="AI13" s="256"/>
      <c r="AJ13" s="256"/>
      <c r="AK13" s="256"/>
    </row>
    <row r="14" spans="1:37" ht="26.1" customHeight="1">
      <c r="A14" s="171" t="s">
        <v>48</v>
      </c>
      <c r="B14" s="11"/>
      <c r="C14" s="156">
        <v>1.88</v>
      </c>
      <c r="D14" s="146">
        <v>0.3</v>
      </c>
      <c r="E14" s="195">
        <v>-110</v>
      </c>
      <c r="F14" s="3"/>
      <c r="G14" s="172">
        <v>1.65</v>
      </c>
      <c r="H14" s="146">
        <v>0.36</v>
      </c>
      <c r="I14" s="195">
        <v>-78.2</v>
      </c>
      <c r="J14" s="3"/>
      <c r="K14" s="172">
        <v>1.59</v>
      </c>
      <c r="L14" s="146">
        <v>0.37</v>
      </c>
      <c r="M14" s="195">
        <v>-70.5</v>
      </c>
      <c r="N14" s="3"/>
      <c r="O14" s="156">
        <v>1.88</v>
      </c>
      <c r="P14" s="146">
        <v>0.31</v>
      </c>
      <c r="Q14" s="195">
        <v>-108.5</v>
      </c>
      <c r="R14" s="9"/>
      <c r="S14" s="172">
        <v>1.68</v>
      </c>
      <c r="T14" s="146">
        <v>0.36</v>
      </c>
      <c r="U14" s="195">
        <v>-80.7</v>
      </c>
      <c r="V14" s="9"/>
      <c r="W14" s="172">
        <v>1.55</v>
      </c>
      <c r="X14" s="146">
        <v>0.4</v>
      </c>
      <c r="Y14" s="195">
        <v>-61.8</v>
      </c>
      <c r="Z14" s="3"/>
      <c r="AA14" s="146"/>
      <c r="AB14" s="163"/>
      <c r="AC14" s="195">
        <v>-32</v>
      </c>
      <c r="AD14" s="3"/>
      <c r="AE14" s="3"/>
      <c r="AF14" s="266"/>
      <c r="AG14" s="256" t="s">
        <v>28</v>
      </c>
      <c r="AH14" s="256"/>
      <c r="AI14" s="256"/>
      <c r="AJ14" s="256"/>
      <c r="AK14" s="256"/>
    </row>
    <row r="15" spans="1:37" ht="26.1" customHeight="1">
      <c r="A15" s="90" t="s">
        <v>54</v>
      </c>
      <c r="B15" s="11"/>
      <c r="C15" s="76">
        <v>1.83</v>
      </c>
      <c r="D15" s="42">
        <f>0.47*0.63</f>
        <v>0.29609999999999997</v>
      </c>
      <c r="E15" s="194">
        <v>-107</v>
      </c>
      <c r="F15" s="3"/>
      <c r="G15" s="141">
        <v>1.58</v>
      </c>
      <c r="H15" s="42">
        <f>0.63*0.52</f>
        <v>0.3276</v>
      </c>
      <c r="I15" s="197">
        <v>-79</v>
      </c>
      <c r="J15" s="3"/>
      <c r="K15" s="141">
        <v>1.52</v>
      </c>
      <c r="L15" s="42">
        <f>0.63*0.53</f>
        <v>0.33390000000000003</v>
      </c>
      <c r="M15" s="197">
        <f>196.4*L15-90.36*K15</f>
        <v>-71.769239999999982</v>
      </c>
      <c r="N15" s="3"/>
      <c r="O15" s="141">
        <v>1.77</v>
      </c>
      <c r="P15" s="42">
        <f>0.63*0.51</f>
        <v>0.32130000000000003</v>
      </c>
      <c r="Q15" s="194">
        <v>-97</v>
      </c>
      <c r="R15" s="9"/>
      <c r="S15" s="141">
        <v>1.62</v>
      </c>
      <c r="T15" s="42">
        <f>0.63*0.54</f>
        <v>0.3402</v>
      </c>
      <c r="U15" s="194">
        <v>-79</v>
      </c>
      <c r="V15" s="9"/>
      <c r="W15" s="141">
        <v>1.48</v>
      </c>
      <c r="X15" s="42">
        <f>0.63*0.57</f>
        <v>0.35909999999999997</v>
      </c>
      <c r="Y15" s="194">
        <v>-63</v>
      </c>
      <c r="Z15" s="3"/>
      <c r="AA15" s="42"/>
      <c r="AB15" s="42"/>
      <c r="AC15" s="194">
        <v>-27</v>
      </c>
      <c r="AD15" s="3"/>
      <c r="AE15" s="3"/>
      <c r="AF15" s="267"/>
      <c r="AG15" s="256"/>
      <c r="AH15" s="256"/>
      <c r="AI15" s="256"/>
      <c r="AJ15" s="256"/>
      <c r="AK15" s="256"/>
    </row>
    <row r="16" spans="1:37" ht="26.1" customHeight="1">
      <c r="A16" s="242" t="s">
        <v>50</v>
      </c>
      <c r="B16" s="11"/>
      <c r="C16" s="243">
        <v>1.52</v>
      </c>
      <c r="D16" s="213">
        <f>0.62*0.49</f>
        <v>0.30380000000000001</v>
      </c>
      <c r="E16" s="232">
        <f>196.4*D16-90.36*C16</f>
        <v>-77.680879999999974</v>
      </c>
      <c r="F16" s="4"/>
      <c r="G16" s="243">
        <v>1.52</v>
      </c>
      <c r="H16" s="213">
        <f>0.62*0.55</f>
        <v>0.34100000000000003</v>
      </c>
      <c r="I16" s="232">
        <f>196.4*H16-90.36*G16</f>
        <v>-70.374799999999979</v>
      </c>
      <c r="J16" s="4"/>
      <c r="K16" s="243">
        <v>1.52</v>
      </c>
      <c r="L16" s="213">
        <f>0.62*0.56</f>
        <v>0.34720000000000001</v>
      </c>
      <c r="M16" s="232">
        <f>196.4*L16-90.36*K16</f>
        <v>-69.157119999999978</v>
      </c>
      <c r="N16" s="4"/>
      <c r="O16" s="243">
        <v>1.46</v>
      </c>
      <c r="P16" s="213">
        <f>0.62*0.56</f>
        <v>0.34720000000000001</v>
      </c>
      <c r="Q16" s="232">
        <f>196.4*P16-90.36*O16</f>
        <v>-63.735519999999994</v>
      </c>
      <c r="R16" s="28"/>
      <c r="S16" s="243">
        <v>1.47</v>
      </c>
      <c r="T16" s="213">
        <f>0.62*0.58</f>
        <v>0.35959999999999998</v>
      </c>
      <c r="U16" s="232">
        <f>196.4*T16-90.36*S16</f>
        <v>-62.203759999999988</v>
      </c>
      <c r="V16" s="117"/>
      <c r="W16" s="243">
        <v>1.47</v>
      </c>
      <c r="X16" s="213">
        <f>0.62*0.62</f>
        <v>0.38440000000000002</v>
      </c>
      <c r="Y16" s="232">
        <f>196.4*X16-90.36*W16</f>
        <v>-57.333039999999983</v>
      </c>
      <c r="Z16" s="4"/>
      <c r="AA16" s="213">
        <v>1.4</v>
      </c>
      <c r="AB16" s="213">
        <f>0.62*0.75</f>
        <v>0.46499999999999997</v>
      </c>
      <c r="AC16" s="196" t="s">
        <v>33</v>
      </c>
      <c r="AD16" s="4"/>
      <c r="AE16" s="4"/>
      <c r="AF16" s="254"/>
      <c r="AG16" s="256" t="s">
        <v>41</v>
      </c>
      <c r="AH16" s="256"/>
      <c r="AI16" s="256"/>
      <c r="AJ16" s="256"/>
      <c r="AK16" s="256"/>
    </row>
    <row r="17" spans="1:37" ht="26.1" customHeight="1" thickBot="1">
      <c r="A17" s="245" t="s">
        <v>51</v>
      </c>
      <c r="B17" s="246"/>
      <c r="C17" s="191">
        <v>1.65</v>
      </c>
      <c r="D17" s="99">
        <f>0.62*0.49</f>
        <v>0.30380000000000001</v>
      </c>
      <c r="E17" s="199">
        <f>196.4*D17-90.36*C17</f>
        <v>-89.427679999999981</v>
      </c>
      <c r="F17" s="247"/>
      <c r="G17" s="191">
        <v>1.65</v>
      </c>
      <c r="H17" s="99">
        <f>0.62*0.55</f>
        <v>0.34100000000000003</v>
      </c>
      <c r="I17" s="199">
        <f>196.4*H17-90.36*G17</f>
        <v>-82.121599999999987</v>
      </c>
      <c r="J17" s="247"/>
      <c r="K17" s="191">
        <v>1.65</v>
      </c>
      <c r="L17" s="99">
        <f>0.62*0.56</f>
        <v>0.34720000000000001</v>
      </c>
      <c r="M17" s="199">
        <f>196.4*L17-90.36*K17</f>
        <v>-80.903919999999985</v>
      </c>
      <c r="N17" s="247"/>
      <c r="O17" s="191">
        <v>1.56</v>
      </c>
      <c r="P17" s="99">
        <f>0.62*0.56</f>
        <v>0.34720000000000001</v>
      </c>
      <c r="Q17" s="199">
        <f>196.4*P17-90.36*O17</f>
        <v>-72.771519999999995</v>
      </c>
      <c r="R17" s="248"/>
      <c r="S17" s="191">
        <v>1.58</v>
      </c>
      <c r="T17" s="99">
        <f>0.62*0.58</f>
        <v>0.35959999999999998</v>
      </c>
      <c r="U17" s="199">
        <f>196.4*T17-90.36*S17</f>
        <v>-72.143360000000001</v>
      </c>
      <c r="V17" s="249"/>
      <c r="W17" s="191">
        <v>1.58</v>
      </c>
      <c r="X17" s="99">
        <f>0.62*0.62</f>
        <v>0.38440000000000002</v>
      </c>
      <c r="Y17" s="199">
        <f>196.4*X17-90.36*W17</f>
        <v>-67.272639999999996</v>
      </c>
      <c r="Z17" s="250"/>
      <c r="AA17" s="191">
        <v>1.42</v>
      </c>
      <c r="AB17" s="99">
        <f>0.62*0.75</f>
        <v>0.46499999999999997</v>
      </c>
      <c r="AC17" s="251" t="s">
        <v>35</v>
      </c>
      <c r="AD17" s="3"/>
      <c r="AE17" s="4"/>
      <c r="AF17" s="255"/>
      <c r="AG17" s="256"/>
      <c r="AH17" s="256"/>
      <c r="AI17" s="256"/>
      <c r="AJ17" s="256"/>
      <c r="AK17" s="256"/>
    </row>
    <row r="18" spans="1:37" ht="26.1" customHeight="1">
      <c r="A18" s="91" t="s">
        <v>52</v>
      </c>
      <c r="B18" s="32"/>
      <c r="C18" s="192">
        <v>1.67</v>
      </c>
      <c r="D18" s="41">
        <f>0.62*0.48</f>
        <v>0.29759999999999998</v>
      </c>
      <c r="E18" s="198">
        <f>196.4*D18-90.36*C18</f>
        <v>-92.452559999999991</v>
      </c>
      <c r="F18" s="4"/>
      <c r="G18" s="192">
        <v>1.67</v>
      </c>
      <c r="H18" s="41">
        <f>0.62*0.55</f>
        <v>0.34100000000000003</v>
      </c>
      <c r="I18" s="198">
        <f>196.4*H18-90.36*G18</f>
        <v>-83.928799999999981</v>
      </c>
      <c r="J18" s="4"/>
      <c r="K18" s="192">
        <v>1.67</v>
      </c>
      <c r="L18" s="41">
        <f>0.62*0.56</f>
        <v>0.34720000000000001</v>
      </c>
      <c r="M18" s="198">
        <f>196.4*L18-90.36*K18</f>
        <v>-82.71111999999998</v>
      </c>
      <c r="N18" s="4"/>
      <c r="O18" s="192">
        <v>1.59</v>
      </c>
      <c r="P18" s="41">
        <f>0.62*0.56</f>
        <v>0.34720000000000001</v>
      </c>
      <c r="Q18" s="198">
        <f>196.4*P18-90.36*O18</f>
        <v>-75.482320000000001</v>
      </c>
      <c r="R18" s="3"/>
      <c r="S18" s="192">
        <v>1.61</v>
      </c>
      <c r="T18" s="41">
        <f>0.62*0.58</f>
        <v>0.35959999999999998</v>
      </c>
      <c r="U18" s="198">
        <f>196.4*T18-90.36*S18</f>
        <v>-74.854160000000007</v>
      </c>
      <c r="V18" s="3"/>
      <c r="W18" s="192">
        <v>1.61</v>
      </c>
      <c r="X18" s="41">
        <f>0.62*0.62</f>
        <v>0.38440000000000002</v>
      </c>
      <c r="Y18" s="198">
        <f>196.4*X18-90.36*W18</f>
        <v>-69.983440000000002</v>
      </c>
      <c r="Z18" s="3"/>
      <c r="AA18" s="192">
        <v>1.46</v>
      </c>
      <c r="AB18" s="41">
        <f>0.62*0.79</f>
        <v>0.48980000000000001</v>
      </c>
      <c r="AC18" s="244" t="s">
        <v>34</v>
      </c>
      <c r="AD18" s="3"/>
      <c r="AE18" s="3"/>
      <c r="AF18" s="254"/>
      <c r="AG18" s="256" t="s">
        <v>42</v>
      </c>
      <c r="AH18" s="256"/>
      <c r="AI18" s="256"/>
      <c r="AJ18" s="256"/>
      <c r="AK18" s="256"/>
    </row>
    <row r="19" spans="1:37" ht="26.1" customHeight="1">
      <c r="A19" s="90" t="s">
        <v>55</v>
      </c>
      <c r="B19" s="11"/>
      <c r="C19" s="141">
        <v>1.78</v>
      </c>
      <c r="D19" s="42">
        <f>0.63*0.48</f>
        <v>0.3024</v>
      </c>
      <c r="E19" s="197">
        <v>-101</v>
      </c>
      <c r="F19" s="3"/>
      <c r="G19" s="141">
        <v>1.53</v>
      </c>
      <c r="H19" s="42">
        <f>0.63*0.53</f>
        <v>0.33390000000000003</v>
      </c>
      <c r="I19" s="197">
        <v>-72</v>
      </c>
      <c r="J19" s="3"/>
      <c r="K19" s="141">
        <v>1.47</v>
      </c>
      <c r="L19" s="42">
        <f>0.63*0.55</f>
        <v>0.34650000000000003</v>
      </c>
      <c r="M19" s="197">
        <v>-66</v>
      </c>
      <c r="N19" s="3"/>
      <c r="O19" s="141">
        <v>1.74</v>
      </c>
      <c r="P19" s="42">
        <f>0.63*0.52</f>
        <v>0.3276</v>
      </c>
      <c r="Q19" s="197">
        <v>-93</v>
      </c>
      <c r="R19" s="9"/>
      <c r="S19" s="141">
        <v>1.58</v>
      </c>
      <c r="T19" s="42">
        <f>0.63*0.55</f>
        <v>0.34650000000000003</v>
      </c>
      <c r="U19" s="197">
        <v>-75</v>
      </c>
      <c r="V19" s="9"/>
      <c r="W19" s="141">
        <v>1.44</v>
      </c>
      <c r="X19" s="42">
        <f>0.63*0.58</f>
        <v>0.3654</v>
      </c>
      <c r="Y19" s="197">
        <v>-58</v>
      </c>
      <c r="Z19" s="3"/>
      <c r="AA19" s="42"/>
      <c r="AB19" s="42"/>
      <c r="AC19" s="194">
        <v>-29</v>
      </c>
      <c r="AD19" s="3"/>
      <c r="AE19" s="3"/>
      <c r="AF19" s="255"/>
      <c r="AG19" s="256"/>
      <c r="AH19" s="256"/>
      <c r="AI19" s="256"/>
      <c r="AJ19" s="256"/>
      <c r="AK19" s="256"/>
    </row>
    <row r="20" spans="1:37" ht="26.1" customHeight="1">
      <c r="A20" s="90" t="s">
        <v>56</v>
      </c>
      <c r="B20" s="32"/>
      <c r="C20" s="76">
        <v>1.89</v>
      </c>
      <c r="D20" s="42">
        <f>0.63*0.39</f>
        <v>0.2457</v>
      </c>
      <c r="E20" s="197">
        <v>-122</v>
      </c>
      <c r="F20" s="3"/>
      <c r="G20" s="141">
        <v>1.54</v>
      </c>
      <c r="H20" s="42">
        <f>0.63*0.48</f>
        <v>0.3024</v>
      </c>
      <c r="I20" s="197">
        <v>-80</v>
      </c>
      <c r="J20" s="3"/>
      <c r="K20" s="141">
        <v>1.45</v>
      </c>
      <c r="L20" s="42">
        <f>0.63*0.5</f>
        <v>0.315</v>
      </c>
      <c r="M20" s="197">
        <v>-69</v>
      </c>
      <c r="N20" s="3"/>
      <c r="O20" s="76">
        <v>1.86</v>
      </c>
      <c r="P20" s="42">
        <f>0.63*0.44</f>
        <v>0.2772</v>
      </c>
      <c r="Q20" s="197">
        <v>-113</v>
      </c>
      <c r="R20" s="3"/>
      <c r="S20" s="141">
        <v>1.64</v>
      </c>
      <c r="T20" s="42">
        <f>0.63*0.5</f>
        <v>0.315</v>
      </c>
      <c r="U20" s="197">
        <v>-87</v>
      </c>
      <c r="V20" s="3"/>
      <c r="W20" s="141">
        <v>1.43</v>
      </c>
      <c r="X20" s="42">
        <f>0.63*0.54</f>
        <v>0.3402</v>
      </c>
      <c r="Y20" s="197">
        <v>-61</v>
      </c>
      <c r="Z20" s="3"/>
      <c r="AA20" s="53"/>
      <c r="AB20" s="53"/>
      <c r="AC20" s="194">
        <v>-33</v>
      </c>
      <c r="AD20" s="3"/>
      <c r="AE20" s="3"/>
      <c r="AF20" s="254"/>
      <c r="AG20" s="256" t="s">
        <v>71</v>
      </c>
      <c r="AH20" s="256"/>
      <c r="AI20" s="256"/>
      <c r="AJ20" s="256"/>
      <c r="AK20" s="256"/>
    </row>
    <row r="21" spans="1:37" ht="26.1" customHeight="1">
      <c r="A21" s="90" t="s">
        <v>57</v>
      </c>
      <c r="B21" s="32"/>
      <c r="C21" s="76">
        <v>1.87</v>
      </c>
      <c r="D21" s="42">
        <f>0.63*0.32</f>
        <v>0.2016</v>
      </c>
      <c r="E21" s="118">
        <v>-129</v>
      </c>
      <c r="F21" s="3"/>
      <c r="G21" s="141">
        <v>1.55</v>
      </c>
      <c r="H21" s="42">
        <f>0.63*0.47</f>
        <v>0.29609999999999997</v>
      </c>
      <c r="I21" s="118">
        <v>-82</v>
      </c>
      <c r="J21" s="3"/>
      <c r="K21" s="45"/>
      <c r="L21" s="42"/>
      <c r="M21" s="118"/>
      <c r="N21" s="3"/>
      <c r="O21" s="76">
        <v>1.85</v>
      </c>
      <c r="P21" s="42">
        <f>0.63*0.37</f>
        <v>0.2331</v>
      </c>
      <c r="Q21" s="118">
        <v>-122</v>
      </c>
      <c r="R21" s="3"/>
      <c r="S21" s="141">
        <v>1.65</v>
      </c>
      <c r="T21" s="42">
        <f>0.63*0.46</f>
        <v>0.2898</v>
      </c>
      <c r="U21" s="118">
        <v>-93</v>
      </c>
      <c r="V21" s="3"/>
      <c r="W21" s="42"/>
      <c r="X21" s="42"/>
      <c r="Y21" s="118"/>
      <c r="Z21" s="3"/>
      <c r="AA21" s="53"/>
      <c r="AB21" s="53"/>
      <c r="AC21" s="57"/>
      <c r="AD21" s="3"/>
      <c r="AE21" s="3"/>
      <c r="AF21" s="255"/>
      <c r="AG21" s="256"/>
      <c r="AH21" s="256"/>
      <c r="AI21" s="256"/>
      <c r="AJ21" s="256"/>
      <c r="AK21" s="256"/>
    </row>
    <row r="22" spans="1:37" ht="26.1" customHeight="1">
      <c r="A22" s="94" t="s">
        <v>58</v>
      </c>
      <c r="B22" s="56"/>
      <c r="C22" s="42"/>
      <c r="D22" s="42"/>
      <c r="E22" s="57" t="s">
        <v>10</v>
      </c>
      <c r="F22" s="16"/>
      <c r="G22" s="42"/>
      <c r="H22" s="42"/>
      <c r="I22" s="57" t="s">
        <v>10</v>
      </c>
      <c r="J22" s="4"/>
      <c r="K22" s="141">
        <v>1.7</v>
      </c>
      <c r="L22" s="42">
        <v>0.34</v>
      </c>
      <c r="M22" s="80">
        <f>196.4*L22-90.36*K22</f>
        <v>-86.835999999999984</v>
      </c>
      <c r="N22" s="16"/>
      <c r="O22" s="42"/>
      <c r="P22" s="42"/>
      <c r="Q22" s="57" t="s">
        <v>10</v>
      </c>
      <c r="R22" s="17"/>
      <c r="S22" s="42"/>
      <c r="T22" s="42"/>
      <c r="U22" s="57" t="s">
        <v>10</v>
      </c>
      <c r="V22" s="54"/>
      <c r="W22" s="42">
        <v>1.61</v>
      </c>
      <c r="X22" s="42">
        <v>0.37</v>
      </c>
      <c r="Y22" s="80">
        <f>196.4*X22-90.36*W22</f>
        <v>-72.811599999999999</v>
      </c>
      <c r="Z22" s="4"/>
      <c r="AA22" s="42">
        <v>1.39</v>
      </c>
      <c r="AB22" s="53">
        <v>0.46</v>
      </c>
      <c r="AC22" s="81">
        <f>196.4*AB22-90.36*AA22</f>
        <v>-35.256399999999985</v>
      </c>
      <c r="AD22" s="4"/>
      <c r="AE22" s="4"/>
      <c r="AF22" s="254"/>
      <c r="AG22" s="256" t="s">
        <v>72</v>
      </c>
      <c r="AH22" s="256"/>
      <c r="AI22" s="256"/>
      <c r="AJ22" s="256"/>
      <c r="AK22" s="256"/>
    </row>
    <row r="23" spans="1:37" ht="26.1" customHeight="1">
      <c r="A23" s="94" t="s">
        <v>59</v>
      </c>
      <c r="B23" s="56"/>
      <c r="C23" s="42"/>
      <c r="D23" s="42"/>
      <c r="E23" s="57" t="s">
        <v>10</v>
      </c>
      <c r="F23" s="16"/>
      <c r="G23" s="42"/>
      <c r="H23" s="42"/>
      <c r="I23" s="57" t="s">
        <v>10</v>
      </c>
      <c r="J23" s="4"/>
      <c r="K23" s="141">
        <v>1.79</v>
      </c>
      <c r="L23" s="42">
        <v>0.31</v>
      </c>
      <c r="M23" s="80">
        <f>196.4*L23-90.36*K23</f>
        <v>-100.86040000000001</v>
      </c>
      <c r="N23" s="16"/>
      <c r="O23" s="42"/>
      <c r="P23" s="42"/>
      <c r="Q23" s="57" t="s">
        <v>10</v>
      </c>
      <c r="R23" s="17"/>
      <c r="S23" s="42"/>
      <c r="T23" s="42"/>
      <c r="U23" s="57" t="s">
        <v>10</v>
      </c>
      <c r="V23" s="34"/>
      <c r="W23" s="141">
        <v>1.71</v>
      </c>
      <c r="X23" s="42">
        <v>0.33</v>
      </c>
      <c r="Y23" s="80">
        <f>196.4*X23-90.36*W23</f>
        <v>-89.703599999999994</v>
      </c>
      <c r="Z23" s="4"/>
      <c r="AA23" s="141">
        <v>1.52</v>
      </c>
      <c r="AB23" s="53">
        <v>0.41</v>
      </c>
      <c r="AC23" s="81">
        <f>196.4*AB23-90.36*AA23</f>
        <v>-56.823199999999986</v>
      </c>
      <c r="AD23" s="4"/>
      <c r="AE23" s="4"/>
      <c r="AF23" s="255"/>
      <c r="AG23" s="256"/>
      <c r="AH23" s="256"/>
      <c r="AI23" s="256"/>
      <c r="AJ23" s="256"/>
      <c r="AK23" s="256"/>
    </row>
    <row r="24" spans="1:37" ht="26.1" customHeight="1">
      <c r="A24" s="90" t="s">
        <v>17</v>
      </c>
      <c r="B24" s="18"/>
      <c r="C24" s="75">
        <v>1.85</v>
      </c>
      <c r="D24" s="42">
        <f>0.62*0.6</f>
        <v>0.372</v>
      </c>
      <c r="E24" s="197">
        <v>-94</v>
      </c>
      <c r="F24" s="4"/>
      <c r="G24" s="142">
        <v>1.7</v>
      </c>
      <c r="H24" s="42">
        <f>0.62*0.66</f>
        <v>0.40920000000000001</v>
      </c>
      <c r="I24" s="197">
        <v>-73</v>
      </c>
      <c r="J24" s="4"/>
      <c r="K24" s="142">
        <v>1.67</v>
      </c>
      <c r="L24" s="42">
        <f>0.62*0.68</f>
        <v>0.42160000000000003</v>
      </c>
      <c r="M24" s="197">
        <v>-68</v>
      </c>
      <c r="N24" s="4"/>
      <c r="O24" s="75">
        <v>1.83</v>
      </c>
      <c r="P24" s="42">
        <f>0.62*0.63</f>
        <v>0.3906</v>
      </c>
      <c r="Q24" s="197">
        <v>-89</v>
      </c>
      <c r="R24" s="4"/>
      <c r="S24" s="143">
        <v>1.7</v>
      </c>
      <c r="T24" s="42">
        <f>0.62*0.68</f>
        <v>0.42160000000000003</v>
      </c>
      <c r="U24" s="201">
        <v>-71</v>
      </c>
      <c r="V24" s="4"/>
      <c r="W24" s="58">
        <v>1.61</v>
      </c>
      <c r="X24" s="42">
        <f>0.62*0.71</f>
        <v>0.44019999999999998</v>
      </c>
      <c r="Y24" s="197">
        <v>-59</v>
      </c>
      <c r="Z24" s="4"/>
      <c r="AA24" s="142">
        <v>1.41</v>
      </c>
      <c r="AB24" s="42">
        <f>0.62*0.82</f>
        <v>0.50839999999999996</v>
      </c>
      <c r="AC24" s="197">
        <v>-28</v>
      </c>
      <c r="AD24" s="3"/>
      <c r="AE24" s="3"/>
      <c r="AF24" s="252"/>
      <c r="AG24" s="253"/>
      <c r="AH24" s="253"/>
      <c r="AI24" s="253"/>
      <c r="AJ24" s="253"/>
      <c r="AK24" s="253"/>
    </row>
    <row r="25" spans="1:37" ht="26.1" customHeight="1">
      <c r="A25" s="90" t="s">
        <v>18</v>
      </c>
      <c r="B25" s="18"/>
      <c r="C25" s="75">
        <v>1.95</v>
      </c>
      <c r="D25" s="42">
        <f>0.55*0.6</f>
        <v>0.33</v>
      </c>
      <c r="E25" s="197">
        <v>-111</v>
      </c>
      <c r="F25" s="4"/>
      <c r="G25" s="77">
        <v>1.81</v>
      </c>
      <c r="H25" s="42">
        <f>0.55*0.66</f>
        <v>0.36300000000000004</v>
      </c>
      <c r="I25" s="198">
        <v>-92</v>
      </c>
      <c r="J25" s="4"/>
      <c r="K25" s="142">
        <v>1.78</v>
      </c>
      <c r="L25" s="42">
        <f>0.55*0.68</f>
        <v>0.37400000000000005</v>
      </c>
      <c r="M25" s="197">
        <v>-87</v>
      </c>
      <c r="N25" s="4"/>
      <c r="O25" s="75">
        <v>1.93</v>
      </c>
      <c r="P25" s="42">
        <f>0.55*0.63</f>
        <v>0.34650000000000003</v>
      </c>
      <c r="Q25" s="197">
        <v>-107</v>
      </c>
      <c r="R25" s="4"/>
      <c r="S25" s="75">
        <v>1.81</v>
      </c>
      <c r="T25" s="42">
        <f>0.55*0.68</f>
        <v>0.37400000000000005</v>
      </c>
      <c r="U25" s="197">
        <v>-90</v>
      </c>
      <c r="V25" s="4"/>
      <c r="W25" s="144">
        <v>1.73</v>
      </c>
      <c r="X25" s="42">
        <f>0.55*0.71</f>
        <v>0.39050000000000001</v>
      </c>
      <c r="Y25" s="198">
        <v>-79</v>
      </c>
      <c r="Z25" s="4"/>
      <c r="AA25" s="144">
        <v>1.54</v>
      </c>
      <c r="AB25" s="42">
        <f>0.55*0.82</f>
        <v>0.45100000000000001</v>
      </c>
      <c r="AC25" s="198">
        <v>-51</v>
      </c>
      <c r="AD25" s="3"/>
      <c r="AE25" s="3"/>
      <c r="AF25" s="253"/>
      <c r="AG25" s="253"/>
      <c r="AH25" s="253"/>
      <c r="AI25" s="253"/>
      <c r="AJ25" s="253"/>
      <c r="AK25" s="253"/>
    </row>
    <row r="26" spans="1:37" ht="26.1" customHeight="1">
      <c r="A26" s="95" t="s">
        <v>19</v>
      </c>
      <c r="B26" s="18"/>
      <c r="C26" s="75">
        <v>2.2999999999999998</v>
      </c>
      <c r="D26" s="42">
        <f>0.62*0.57</f>
        <v>0.35339999999999999</v>
      </c>
      <c r="E26" s="118">
        <v>-139</v>
      </c>
      <c r="F26" s="4"/>
      <c r="G26" s="143">
        <v>1.79</v>
      </c>
      <c r="H26" s="42">
        <f>0.62*0.66</f>
        <v>0.40920000000000001</v>
      </c>
      <c r="I26" s="157">
        <v>-82</v>
      </c>
      <c r="J26" s="239"/>
      <c r="K26" s="44"/>
      <c r="L26" s="43"/>
      <c r="M26" s="240"/>
      <c r="N26" s="4"/>
      <c r="O26" s="75">
        <v>2.36</v>
      </c>
      <c r="P26" s="42">
        <f>0.62*0.58</f>
        <v>0.35959999999999998</v>
      </c>
      <c r="Q26" s="118">
        <v>-142</v>
      </c>
      <c r="R26" s="4"/>
      <c r="S26" s="75">
        <v>1.92</v>
      </c>
      <c r="T26" s="42">
        <f>0.62*0.66</f>
        <v>0.40920000000000001</v>
      </c>
      <c r="U26" s="118">
        <v>-93</v>
      </c>
      <c r="V26" s="4"/>
      <c r="W26" s="47"/>
      <c r="X26" s="44"/>
      <c r="Y26" s="38"/>
      <c r="Z26" s="19"/>
      <c r="AA26" s="49"/>
      <c r="AB26" s="50"/>
      <c r="AC26" s="39"/>
      <c r="AD26" s="4"/>
      <c r="AE26" s="4"/>
      <c r="AF26" s="252"/>
      <c r="AG26" s="253"/>
      <c r="AH26" s="253"/>
      <c r="AI26" s="253"/>
      <c r="AJ26" s="253"/>
      <c r="AK26" s="253"/>
    </row>
    <row r="27" spans="1:37" ht="26.1" customHeight="1" thickBot="1">
      <c r="A27" s="96" t="s">
        <v>20</v>
      </c>
      <c r="B27" s="97"/>
      <c r="C27" s="98">
        <v>2.39</v>
      </c>
      <c r="D27" s="99">
        <f>0.55*0.57</f>
        <v>0.3135</v>
      </c>
      <c r="E27" s="130">
        <v>-155</v>
      </c>
      <c r="F27" s="89"/>
      <c r="G27" s="98">
        <v>1.9</v>
      </c>
      <c r="H27" s="99">
        <f>0.55*0.66</f>
        <v>0.36300000000000004</v>
      </c>
      <c r="I27" s="130">
        <v>-101</v>
      </c>
      <c r="J27" s="207"/>
      <c r="K27" s="100"/>
      <c r="L27" s="84"/>
      <c r="M27" s="226"/>
      <c r="N27" s="89"/>
      <c r="O27" s="98">
        <v>2.4500000000000002</v>
      </c>
      <c r="P27" s="99">
        <f>0.55*0.58</f>
        <v>0.31900000000000001</v>
      </c>
      <c r="Q27" s="130">
        <v>-158</v>
      </c>
      <c r="R27" s="89"/>
      <c r="S27" s="98">
        <v>2.0299999999999998</v>
      </c>
      <c r="T27" s="99">
        <f>0.55*0.66</f>
        <v>0.36300000000000004</v>
      </c>
      <c r="U27" s="130">
        <v>-112</v>
      </c>
      <c r="V27" s="89"/>
      <c r="W27" s="101"/>
      <c r="X27" s="102"/>
      <c r="Y27" s="103"/>
      <c r="Z27" s="104"/>
      <c r="AA27" s="105"/>
      <c r="AB27" s="106"/>
      <c r="AC27" s="107"/>
      <c r="AE27" s="1"/>
      <c r="AF27" s="253"/>
      <c r="AG27" s="253"/>
      <c r="AH27" s="253"/>
      <c r="AI27" s="253"/>
      <c r="AJ27" s="253"/>
      <c r="AK27" s="253"/>
    </row>
    <row r="28" spans="1:37" ht="26.1" customHeight="1">
      <c r="A28" s="233" t="s">
        <v>68</v>
      </c>
      <c r="B28" s="108"/>
      <c r="C28" s="44"/>
      <c r="D28" s="43"/>
      <c r="E28" s="202"/>
      <c r="F28" s="4"/>
      <c r="G28" s="209"/>
      <c r="H28" s="210"/>
      <c r="I28" s="211"/>
      <c r="J28" s="129"/>
      <c r="K28" s="241">
        <v>1.39</v>
      </c>
      <c r="L28" s="213">
        <f>0.63*0.59</f>
        <v>0.37169999999999997</v>
      </c>
      <c r="M28" s="200">
        <f>196.4*L28-90.36*K28</f>
        <v>-52.598519999999994</v>
      </c>
      <c r="N28" s="4"/>
      <c r="O28" s="209"/>
      <c r="P28" s="210"/>
      <c r="Q28" s="211"/>
      <c r="R28" s="4"/>
      <c r="S28" s="209"/>
      <c r="T28" s="210"/>
      <c r="U28" s="211"/>
      <c r="V28" s="4"/>
      <c r="W28" s="216"/>
      <c r="X28" s="217"/>
      <c r="Y28" s="218"/>
      <c r="Z28" s="205"/>
      <c r="AA28" s="213">
        <v>1.3</v>
      </c>
      <c r="AB28" s="213">
        <f>0.63*0.74</f>
        <v>0.4662</v>
      </c>
      <c r="AC28" s="232">
        <v>-26</v>
      </c>
      <c r="AE28" s="1"/>
      <c r="AF28" s="252"/>
      <c r="AG28" s="253"/>
      <c r="AH28" s="253"/>
      <c r="AI28" s="253"/>
      <c r="AJ28" s="253"/>
      <c r="AK28" s="253"/>
    </row>
    <row r="29" spans="1:37" ht="26.1" customHeight="1" thickBot="1">
      <c r="A29" s="234" t="s">
        <v>69</v>
      </c>
      <c r="B29" s="110"/>
      <c r="C29" s="223"/>
      <c r="D29" s="224"/>
      <c r="E29" s="225"/>
      <c r="F29" s="89"/>
      <c r="G29" s="114"/>
      <c r="H29" s="84"/>
      <c r="I29" s="226"/>
      <c r="J29" s="207"/>
      <c r="K29" s="228">
        <v>0.99</v>
      </c>
      <c r="L29" s="99">
        <f>0.5*0.59</f>
        <v>0.29499999999999998</v>
      </c>
      <c r="M29" s="212">
        <f>196.4*L29-90.36*K29</f>
        <v>-31.518400000000007</v>
      </c>
      <c r="N29" s="207"/>
      <c r="O29" s="227"/>
      <c r="P29" s="227"/>
      <c r="Q29" s="231"/>
      <c r="R29" s="89"/>
      <c r="S29" s="114"/>
      <c r="T29" s="84"/>
      <c r="U29" s="226"/>
      <c r="V29" s="89"/>
      <c r="W29" s="101"/>
      <c r="X29" s="102"/>
      <c r="Y29" s="107"/>
      <c r="Z29" s="206"/>
      <c r="AA29" s="99">
        <v>0.81</v>
      </c>
      <c r="AB29" s="99">
        <f>0.51*0.74</f>
        <v>0.37740000000000001</v>
      </c>
      <c r="AC29" s="155">
        <v>1</v>
      </c>
      <c r="AE29" s="1"/>
      <c r="AF29" s="253"/>
      <c r="AG29" s="253"/>
      <c r="AH29" s="253"/>
      <c r="AI29" s="253"/>
      <c r="AJ29" s="253"/>
      <c r="AK29" s="253"/>
    </row>
    <row r="30" spans="1:37" ht="26.1" customHeight="1">
      <c r="A30" s="208" t="s">
        <v>12</v>
      </c>
      <c r="B30" s="35"/>
      <c r="C30" s="44"/>
      <c r="D30" s="43"/>
      <c r="E30" s="215"/>
      <c r="F30" s="4"/>
      <c r="G30" s="219">
        <v>1.86</v>
      </c>
      <c r="H30" s="41">
        <v>0.3</v>
      </c>
      <c r="I30" s="220">
        <f>196.4*H30-90.36*G30</f>
        <v>-109.14960000000001</v>
      </c>
      <c r="J30" s="4"/>
      <c r="K30" s="221">
        <v>1.74</v>
      </c>
      <c r="L30" s="41">
        <v>0.35</v>
      </c>
      <c r="M30" s="220">
        <f>196.4*L30-90.36*K30</f>
        <v>-88.486400000000017</v>
      </c>
      <c r="N30" s="4"/>
      <c r="O30" s="47"/>
      <c r="P30" s="44"/>
      <c r="Q30" s="214"/>
      <c r="R30" s="222"/>
      <c r="S30" s="47"/>
      <c r="T30" s="44"/>
      <c r="U30" s="214"/>
      <c r="V30" s="222"/>
      <c r="W30" s="47"/>
      <c r="X30" s="44"/>
      <c r="Y30" s="214"/>
      <c r="Z30" s="4"/>
      <c r="AA30" s="203"/>
      <c r="AB30" s="204"/>
      <c r="AC30" s="214"/>
      <c r="AE30" s="1"/>
      <c r="AF30" s="252"/>
      <c r="AG30" s="253"/>
      <c r="AH30" s="253"/>
      <c r="AI30" s="253"/>
      <c r="AJ30" s="253"/>
      <c r="AK30" s="253"/>
    </row>
    <row r="31" spans="1:37" ht="26.1" customHeight="1" thickBot="1">
      <c r="A31" s="109" t="s">
        <v>13</v>
      </c>
      <c r="B31" s="110"/>
      <c r="C31" s="111"/>
      <c r="D31" s="84"/>
      <c r="E31" s="112"/>
      <c r="F31" s="89"/>
      <c r="G31" s="113">
        <v>1.89</v>
      </c>
      <c r="H31" s="99">
        <v>0.28999999999999998</v>
      </c>
      <c r="I31" s="130">
        <f>196.4*H31-90.36*G31</f>
        <v>-113.8244</v>
      </c>
      <c r="J31" s="89"/>
      <c r="K31" s="190">
        <v>1.65</v>
      </c>
      <c r="L31" s="99">
        <v>0.35</v>
      </c>
      <c r="M31" s="130">
        <f>196.4*L31-90.36*K31</f>
        <v>-80.353999999999999</v>
      </c>
      <c r="N31" s="89"/>
      <c r="O31" s="114"/>
      <c r="P31" s="84"/>
      <c r="Q31" s="112"/>
      <c r="R31" s="115"/>
      <c r="S31" s="114"/>
      <c r="T31" s="84"/>
      <c r="U31" s="112"/>
      <c r="V31" s="115"/>
      <c r="W31" s="114"/>
      <c r="X31" s="84"/>
      <c r="Y31" s="112"/>
      <c r="Z31" s="115"/>
      <c r="AA31" s="101"/>
      <c r="AB31" s="102"/>
      <c r="AC31" s="116"/>
      <c r="AE31" s="1"/>
      <c r="AF31" s="253"/>
      <c r="AG31" s="253"/>
      <c r="AH31" s="253"/>
      <c r="AI31" s="253"/>
      <c r="AJ31" s="253"/>
      <c r="AK31" s="253"/>
    </row>
    <row r="32" spans="1:37" ht="26.1" customHeight="1" thickBot="1">
      <c r="A32" s="69" t="s">
        <v>14</v>
      </c>
      <c r="B32" s="70"/>
      <c r="C32" s="131">
        <v>2.3199999999999998</v>
      </c>
      <c r="D32" s="71">
        <v>0.43</v>
      </c>
      <c r="E32" s="151">
        <v>-124.9</v>
      </c>
      <c r="F32" s="72"/>
      <c r="G32" s="131">
        <v>2.3199999999999998</v>
      </c>
      <c r="H32" s="71">
        <v>0.47</v>
      </c>
      <c r="I32" s="151">
        <v>-117.7</v>
      </c>
      <c r="J32" s="72"/>
      <c r="K32" s="131">
        <v>2.3199999999999998</v>
      </c>
      <c r="L32" s="71">
        <v>0.48</v>
      </c>
      <c r="M32" s="151">
        <v>-116</v>
      </c>
      <c r="N32" s="72"/>
      <c r="O32" s="132">
        <v>2.36</v>
      </c>
      <c r="P32" s="71">
        <v>0.45</v>
      </c>
      <c r="Q32" s="151">
        <v>-124.8</v>
      </c>
      <c r="R32" s="73"/>
      <c r="S32" s="132">
        <v>2.36</v>
      </c>
      <c r="T32" s="71">
        <v>0.48</v>
      </c>
      <c r="U32" s="151">
        <v>-118.4</v>
      </c>
      <c r="V32" s="73"/>
      <c r="W32" s="132">
        <v>2.36</v>
      </c>
      <c r="X32" s="74">
        <v>0.5</v>
      </c>
      <c r="Y32" s="151">
        <v>-114.3</v>
      </c>
      <c r="Z32" s="73"/>
      <c r="AA32" s="132">
        <v>2.52</v>
      </c>
      <c r="AB32" s="71">
        <v>0.6</v>
      </c>
      <c r="AC32" s="151">
        <v>-110.3</v>
      </c>
      <c r="AE32" s="1"/>
      <c r="AF32" s="257">
        <f>68/59*53</f>
        <v>61.084745762711869</v>
      </c>
      <c r="AG32" s="258"/>
      <c r="AH32" s="258"/>
      <c r="AI32" s="258"/>
      <c r="AJ32" s="258"/>
      <c r="AK32" s="259"/>
    </row>
    <row r="33" spans="1:41" ht="26.1" customHeight="1" thickBot="1">
      <c r="A33" s="69" t="s">
        <v>44</v>
      </c>
      <c r="B33" s="70"/>
      <c r="C33" s="131">
        <v>4.46</v>
      </c>
      <c r="D33" s="71">
        <v>0.41</v>
      </c>
      <c r="E33" s="151">
        <v>-307.3</v>
      </c>
      <c r="F33" s="72"/>
      <c r="G33" s="131">
        <v>4.46</v>
      </c>
      <c r="H33" s="71">
        <v>0.53</v>
      </c>
      <c r="I33" s="151">
        <v>-299.10000000000002</v>
      </c>
      <c r="J33" s="72"/>
      <c r="K33" s="131">
        <v>2.3199999999999998</v>
      </c>
      <c r="L33" s="71">
        <v>0.48</v>
      </c>
      <c r="M33" s="151">
        <v>-299.10000000000002</v>
      </c>
      <c r="N33" s="72"/>
      <c r="O33" s="132">
        <v>4.58</v>
      </c>
      <c r="P33" s="71">
        <v>0.51</v>
      </c>
      <c r="Q33" s="151">
        <v>-313.39999999999998</v>
      </c>
      <c r="R33" s="73"/>
      <c r="S33" s="132">
        <v>4.58</v>
      </c>
      <c r="T33" s="71">
        <v>0.55000000000000004</v>
      </c>
      <c r="U33" s="151">
        <v>-306.2</v>
      </c>
      <c r="V33" s="73"/>
      <c r="W33" s="132">
        <v>4.58</v>
      </c>
      <c r="X33" s="74">
        <v>0.49</v>
      </c>
      <c r="Y33" s="151">
        <v>-301.60000000000002</v>
      </c>
      <c r="Z33" s="73"/>
      <c r="AA33" s="132">
        <v>4.99</v>
      </c>
      <c r="AB33" s="71">
        <v>0.68</v>
      </c>
      <c r="AC33" s="151">
        <v>-318.60000000000002</v>
      </c>
      <c r="AE33" s="1"/>
      <c r="AF33" s="260"/>
      <c r="AG33" s="261"/>
      <c r="AH33" s="261"/>
      <c r="AI33" s="261"/>
      <c r="AJ33" s="261"/>
      <c r="AK33" s="262"/>
      <c r="AO33" s="158"/>
    </row>
    <row r="34" spans="1:41" ht="34.5" customHeight="1">
      <c r="A34" s="68" t="s">
        <v>11</v>
      </c>
      <c r="B34" s="35"/>
      <c r="C34" s="36"/>
      <c r="D34" s="13"/>
      <c r="E34" s="59"/>
      <c r="F34" s="4"/>
      <c r="G34" s="77" t="s">
        <v>0</v>
      </c>
      <c r="H34" s="41" t="s">
        <v>1</v>
      </c>
      <c r="I34" s="152" t="str">
        <f>M34</f>
        <v>-142 til -170</v>
      </c>
      <c r="J34" s="4"/>
      <c r="K34" s="77" t="s">
        <v>0</v>
      </c>
      <c r="L34" s="41" t="s">
        <v>1</v>
      </c>
      <c r="M34" s="152" t="s">
        <v>5</v>
      </c>
      <c r="N34" s="4"/>
      <c r="O34" s="48"/>
      <c r="P34" s="46"/>
      <c r="Q34" s="55"/>
      <c r="R34" s="28"/>
      <c r="S34" s="48"/>
      <c r="T34" s="46"/>
      <c r="U34" s="37"/>
      <c r="V34" s="33"/>
      <c r="W34" s="48"/>
      <c r="X34" s="46"/>
      <c r="Y34" s="37"/>
      <c r="Z34" s="33"/>
      <c r="AA34" s="51"/>
      <c r="AB34" s="52"/>
      <c r="AC34" s="60"/>
      <c r="AE34" s="1"/>
      <c r="AF34" s="263"/>
      <c r="AG34" s="264"/>
      <c r="AH34" s="264"/>
      <c r="AI34" s="264"/>
      <c r="AJ34" s="264"/>
      <c r="AK34" s="265"/>
    </row>
    <row r="35" spans="1:41" ht="3.75" customHeight="1">
      <c r="B35" s="1"/>
    </row>
    <row r="36" spans="1:41">
      <c r="F36" s="12"/>
      <c r="K36" s="235"/>
      <c r="L36" s="235"/>
      <c r="M36" s="236"/>
    </row>
    <row r="37" spans="1:41" ht="18">
      <c r="A37" s="238" t="s">
        <v>70</v>
      </c>
      <c r="F37" s="12"/>
      <c r="K37" s="237">
        <v>1.61</v>
      </c>
      <c r="L37" s="229">
        <f>0.62*0.71</f>
        <v>0.44019999999999998</v>
      </c>
      <c r="M37" s="230">
        <f>196.4*L37-90.36*K37</f>
        <v>-59.024320000000003</v>
      </c>
      <c r="AG37" s="158"/>
    </row>
    <row r="38" spans="1:41">
      <c r="F38" s="12"/>
    </row>
    <row r="39" spans="1:41">
      <c r="F39" s="12"/>
      <c r="K39" s="12"/>
      <c r="L39" s="12"/>
      <c r="M39" s="12"/>
    </row>
  </sheetData>
  <mergeCells count="31">
    <mergeCell ref="AG10:AK11"/>
    <mergeCell ref="AF10:AF11"/>
    <mergeCell ref="A1:AC1"/>
    <mergeCell ref="S2:T2"/>
    <mergeCell ref="W2:X2"/>
    <mergeCell ref="A2:D2"/>
    <mergeCell ref="G2:H2"/>
    <mergeCell ref="K2:L2"/>
    <mergeCell ref="O2:P2"/>
    <mergeCell ref="AA2:AB2"/>
    <mergeCell ref="AF32:AK34"/>
    <mergeCell ref="AF1:AK1"/>
    <mergeCell ref="AF24:AK25"/>
    <mergeCell ref="AF26:AK27"/>
    <mergeCell ref="AF30:AK31"/>
    <mergeCell ref="AG14:AK15"/>
    <mergeCell ref="AF16:AF17"/>
    <mergeCell ref="AF12:AF13"/>
    <mergeCell ref="AG12:AK13"/>
    <mergeCell ref="AF14:AF15"/>
    <mergeCell ref="AG16:AK17"/>
    <mergeCell ref="AF18:AF19"/>
    <mergeCell ref="AG18:AK19"/>
    <mergeCell ref="AF4:AK5"/>
    <mergeCell ref="AF6:AK7"/>
    <mergeCell ref="AF8:AK9"/>
    <mergeCell ref="AF28:AK29"/>
    <mergeCell ref="AF20:AF21"/>
    <mergeCell ref="AG20:AK21"/>
    <mergeCell ref="AF22:AF23"/>
    <mergeCell ref="AG22:AK23"/>
  </mergeCells>
  <phoneticPr fontId="9" type="noConversion"/>
  <pageMargins left="0.75" right="0.75" top="1" bottom="1" header="0" footer="0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zoomScale="153" workbookViewId="0">
      <selection activeCell="A8" sqref="A8"/>
    </sheetView>
  </sheetViews>
  <sheetFormatPr defaultRowHeight="12.75"/>
  <cols>
    <col min="1" max="1" width="123.7109375" customWidth="1"/>
  </cols>
  <sheetData>
    <row r="1" spans="1:1" ht="32.1" customHeight="1">
      <c r="A1" s="26" t="s">
        <v>60</v>
      </c>
    </row>
    <row r="2" spans="1:1" ht="32.1" customHeight="1">
      <c r="A2" s="26" t="s">
        <v>73</v>
      </c>
    </row>
    <row r="3" spans="1:1" ht="32.1" customHeight="1">
      <c r="A3" s="189" t="s">
        <v>65</v>
      </c>
    </row>
    <row r="4" spans="1:1" ht="32.1" customHeight="1">
      <c r="A4" s="26" t="s">
        <v>61</v>
      </c>
    </row>
    <row r="5" spans="1:1" ht="32.1" customHeight="1">
      <c r="A5" s="26" t="s">
        <v>62</v>
      </c>
    </row>
    <row r="6" spans="1:1" ht="32.1" customHeight="1">
      <c r="A6" s="26" t="s">
        <v>74</v>
      </c>
    </row>
    <row r="7" spans="1:1" ht="32.1" customHeight="1">
      <c r="A7" s="27" t="s">
        <v>75</v>
      </c>
    </row>
    <row r="8" spans="1:1" ht="32.1" customHeight="1">
      <c r="A8" s="27" t="s">
        <v>63</v>
      </c>
    </row>
    <row r="9" spans="1:1" ht="32.1" customHeight="1">
      <c r="A9" s="189" t="s">
        <v>64</v>
      </c>
    </row>
  </sheetData>
  <phoneticPr fontId="9" type="noConversion"/>
  <pageMargins left="0.75" right="0.75" top="1" bottom="1" header="0" footer="0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Vinduer, Energitab</vt:lpstr>
      <vt:lpstr>Producenter, www.adresser</vt:lpstr>
    </vt:vector>
  </TitlesOfParts>
  <Company>Energistyrelsen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</dc:creator>
  <cp:lastModifiedBy>Thomas Kampmann</cp:lastModifiedBy>
  <cp:lastPrinted>2004-07-04T07:21:26Z</cp:lastPrinted>
  <dcterms:created xsi:type="dcterms:W3CDTF">2002-08-15T14:37:53Z</dcterms:created>
  <dcterms:modified xsi:type="dcterms:W3CDTF">2015-03-19T16:33:49Z</dcterms:modified>
</cp:coreProperties>
</file>